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vdc825/protwis_vagrant/shared/data/protwis/gpcr/structure_data/"/>
    </mc:Choice>
  </mc:AlternateContent>
  <xr:revisionPtr revIDLastSave="0" documentId="13_ncr:1_{0A7E2375-CA2A-9E4B-B5FD-DF818C6641E1}" xr6:coauthVersionLast="45" xr6:coauthVersionMax="45" xr10:uidLastSave="{00000000-0000-0000-0000-000000000000}"/>
  <bookViews>
    <workbookView xWindow="0" yWindow="460" windowWidth="51200" windowHeight="28340" tabRatio="500" activeTab="5" xr2:uid="{00000000-000D-0000-FFFF-FFFF00000000}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6" hidden="1">'SegEnds_NonXtal_Prot#'!$A$1:$BG$416</definedName>
    <definedName name="_xlnm._FilterDatabase" localSheetId="0" hidden="1">'SegEnds_Xtal_Prot#'!$A$1:$CT$456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12" localSheetId="10">Xtal_Templ!$A$2:$B$416</definedName>
    <definedName name="xtal_templates_13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'SegEnds_Xtal_Prot#'!$A$1:$CT$456</definedName>
  </definedNames>
  <calcPr calcId="191029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31" i="1" l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Z431" i="1"/>
  <c r="BA431" i="1"/>
  <c r="BB431" i="1"/>
  <c r="CH431" i="1"/>
  <c r="CI431" i="1"/>
  <c r="BC431" i="1" s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T431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Z417" i="1"/>
  <c r="BA417" i="1"/>
  <c r="BB417" i="1"/>
  <c r="CH417" i="1"/>
  <c r="CI417" i="1"/>
  <c r="CJ417" i="1"/>
  <c r="CK417" i="1"/>
  <c r="CL417" i="1"/>
  <c r="CM417" i="1"/>
  <c r="BC417" i="1" s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T417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Z416" i="1"/>
  <c r="BA416" i="1"/>
  <c r="BB416" i="1"/>
  <c r="CH416" i="1"/>
  <c r="CI416" i="1"/>
  <c r="CJ416" i="1"/>
  <c r="CK416" i="1"/>
  <c r="CL416" i="1"/>
  <c r="CM416" i="1"/>
  <c r="BC416" i="1" s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T416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Z401" i="1"/>
  <c r="BA401" i="1"/>
  <c r="BB401" i="1"/>
  <c r="CH401" i="1"/>
  <c r="CI401" i="1"/>
  <c r="CJ401" i="1"/>
  <c r="CK401" i="1"/>
  <c r="CL401" i="1"/>
  <c r="CM401" i="1"/>
  <c r="BC401" i="1" s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T401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Z400" i="1"/>
  <c r="BA400" i="1"/>
  <c r="BB400" i="1"/>
  <c r="CH400" i="1"/>
  <c r="CI400" i="1"/>
  <c r="CJ400" i="1"/>
  <c r="CK400" i="1"/>
  <c r="BC400" i="1" s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T400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Z399" i="1"/>
  <c r="BA399" i="1"/>
  <c r="BB399" i="1"/>
  <c r="CH399" i="1"/>
  <c r="CI399" i="1"/>
  <c r="CJ399" i="1"/>
  <c r="CK399" i="1"/>
  <c r="CL399" i="1"/>
  <c r="CM399" i="1"/>
  <c r="BC399" i="1" s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T399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T239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Z238" i="1"/>
  <c r="BA238" i="1"/>
  <c r="BB238" i="1"/>
  <c r="CH238" i="1"/>
  <c r="CI238" i="1"/>
  <c r="CJ238" i="1"/>
  <c r="CK238" i="1"/>
  <c r="BC238" i="1" s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T238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T426" i="1"/>
  <c r="A82" i="2"/>
  <c r="AA82" i="2"/>
  <c r="AB82" i="2"/>
  <c r="B285" i="4"/>
  <c r="B81" i="4"/>
  <c r="I107" i="5"/>
  <c r="AE82" i="2"/>
  <c r="K147" i="5"/>
  <c r="AG82" i="2" s="1"/>
  <c r="AH82" i="2"/>
  <c r="AJ82" i="2"/>
  <c r="O147" i="5"/>
  <c r="AM82" i="2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T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T236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T286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T271" i="1"/>
  <c r="AI28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A200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BC234" i="1" s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T234" i="1"/>
  <c r="A44" i="2"/>
  <c r="A45" i="2"/>
  <c r="A46" i="2"/>
  <c r="A47" i="2"/>
  <c r="A48" i="2"/>
  <c r="D48" i="2" s="1"/>
  <c r="A49" i="2"/>
  <c r="A50" i="2"/>
  <c r="A51" i="2"/>
  <c r="A52" i="2"/>
  <c r="A53" i="2"/>
  <c r="A54" i="2"/>
  <c r="A55" i="2"/>
  <c r="C55" i="2" s="1"/>
  <c r="A56" i="2"/>
  <c r="C56" i="2" s="1"/>
  <c r="A57" i="2"/>
  <c r="A58" i="2"/>
  <c r="A59" i="2"/>
  <c r="A60" i="2"/>
  <c r="A61" i="2"/>
  <c r="A62" i="2"/>
  <c r="A63" i="2"/>
  <c r="C63" i="2" s="1"/>
  <c r="A64" i="2"/>
  <c r="A65" i="2"/>
  <c r="A66" i="2"/>
  <c r="A67" i="2"/>
  <c r="A68" i="2"/>
  <c r="A69" i="2"/>
  <c r="A70" i="2"/>
  <c r="D70" i="2" s="1"/>
  <c r="A71" i="2"/>
  <c r="A72" i="2"/>
  <c r="A73" i="2"/>
  <c r="A74" i="2"/>
  <c r="A75" i="2"/>
  <c r="E75" i="2" s="1"/>
  <c r="A76" i="2"/>
  <c r="D76" i="2" s="1"/>
  <c r="B93" i="4"/>
  <c r="A9" i="3"/>
  <c r="B9" i="3"/>
  <c r="C9" i="3"/>
  <c r="AI179" i="4"/>
  <c r="AD107" i="5"/>
  <c r="AC107" i="5"/>
  <c r="A81" i="2"/>
  <c r="AA81" i="2"/>
  <c r="AB81" i="2"/>
  <c r="B318" i="4"/>
  <c r="AE81" i="2"/>
  <c r="K306" i="5"/>
  <c r="AH81" i="2"/>
  <c r="AJ81" i="2"/>
  <c r="O306" i="5"/>
  <c r="AM81" i="2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BC232" i="1" s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T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BC233" i="1" s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T233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BC155" i="1" s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T155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Z154" i="1"/>
  <c r="BA154" i="1"/>
  <c r="BB154" i="1"/>
  <c r="CH154" i="1"/>
  <c r="CI154" i="1"/>
  <c r="BC154" i="1" s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T154" i="1"/>
  <c r="AB153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D153" i="1"/>
  <c r="AF153" i="1"/>
  <c r="AH153" i="1"/>
  <c r="AJ153" i="1"/>
  <c r="AL153" i="1"/>
  <c r="AN153" i="1"/>
  <c r="AP153" i="1"/>
  <c r="AR153" i="1"/>
  <c r="AT153" i="1"/>
  <c r="AV153" i="1"/>
  <c r="AX153" i="1"/>
  <c r="AZ153" i="1"/>
  <c r="BA153" i="1"/>
  <c r="BB153" i="1"/>
  <c r="CH153" i="1"/>
  <c r="CI153" i="1"/>
  <c r="BC153" i="1" s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T153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A147" i="1"/>
  <c r="BB147" i="1"/>
  <c r="CH147" i="1"/>
  <c r="CI147" i="1"/>
  <c r="BC147" i="1" s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T147" i="1"/>
  <c r="A146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BC94" i="1" s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T94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BC212" i="1" s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T212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BC87" i="1" s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T87" i="1"/>
  <c r="D294" i="6"/>
  <c r="A2" i="1"/>
  <c r="K9" i="2" s="1"/>
  <c r="A3" i="1"/>
  <c r="A4" i="1"/>
  <c r="A5" i="1"/>
  <c r="G9" i="13" s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8" i="1"/>
  <c r="A149" i="1"/>
  <c r="A150" i="1"/>
  <c r="A151" i="1"/>
  <c r="A152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1" i="1"/>
  <c r="A202" i="1"/>
  <c r="A203" i="1"/>
  <c r="A204" i="1"/>
  <c r="A205" i="1"/>
  <c r="A206" i="1"/>
  <c r="A207" i="1"/>
  <c r="A208" i="1"/>
  <c r="A209" i="1"/>
  <c r="A210" i="1"/>
  <c r="A211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8" i="1"/>
  <c r="A419" i="1"/>
  <c r="A420" i="1"/>
  <c r="A421" i="1"/>
  <c r="A422" i="1"/>
  <c r="A423" i="1"/>
  <c r="A424" i="1"/>
  <c r="A425" i="1"/>
  <c r="A427" i="1"/>
  <c r="A428" i="1"/>
  <c r="A429" i="1"/>
  <c r="A430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B262" i="4"/>
  <c r="B127" i="4"/>
  <c r="D297" i="1"/>
  <c r="D296" i="1"/>
  <c r="C394" i="7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Z322" i="1"/>
  <c r="BA322" i="1"/>
  <c r="BB322" i="1"/>
  <c r="CH322" i="1"/>
  <c r="CI322" i="1"/>
  <c r="CJ322" i="1"/>
  <c r="BC322" i="1" s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T322" i="1"/>
  <c r="B303" i="4"/>
  <c r="AI303" i="4"/>
  <c r="B313" i="4"/>
  <c r="A9" i="13"/>
  <c r="H9" i="13" s="1"/>
  <c r="B9" i="13"/>
  <c r="C9" i="13"/>
  <c r="F9" i="13"/>
  <c r="A80" i="2"/>
  <c r="D80" i="2" s="1"/>
  <c r="AA80" i="2"/>
  <c r="AB80" i="2"/>
  <c r="B314" i="4"/>
  <c r="AE80" i="2"/>
  <c r="K313" i="5"/>
  <c r="AG80" i="2"/>
  <c r="AH80" i="2"/>
  <c r="AI80" i="2"/>
  <c r="AJ80" i="2"/>
  <c r="O313" i="5"/>
  <c r="AM80" i="2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Z407" i="1"/>
  <c r="BA407" i="1"/>
  <c r="BB407" i="1"/>
  <c r="CH407" i="1"/>
  <c r="CI407" i="1"/>
  <c r="BC407" i="1" s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T407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Z408" i="1"/>
  <c r="BA408" i="1"/>
  <c r="BB408" i="1"/>
  <c r="CH408" i="1"/>
  <c r="CI408" i="1"/>
  <c r="CJ408" i="1"/>
  <c r="BC408" i="1" s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T408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Z409" i="1"/>
  <c r="BA409" i="1"/>
  <c r="BB409" i="1"/>
  <c r="CH409" i="1"/>
  <c r="CI409" i="1"/>
  <c r="BC409" i="1" s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T409" i="1"/>
  <c r="A29" i="3"/>
  <c r="H29" i="3" s="1"/>
  <c r="B29" i="3"/>
  <c r="C29" i="3"/>
  <c r="AI273" i="4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D199" i="1"/>
  <c r="AF199" i="1"/>
  <c r="AH199" i="1"/>
  <c r="AJ199" i="1"/>
  <c r="AL199" i="1"/>
  <c r="AN199" i="1"/>
  <c r="AP199" i="1"/>
  <c r="AR199" i="1"/>
  <c r="AT199" i="1"/>
  <c r="AV199" i="1"/>
  <c r="AX199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D200" i="1"/>
  <c r="AF200" i="1"/>
  <c r="AH200" i="1"/>
  <c r="AJ200" i="1"/>
  <c r="AL200" i="1"/>
  <c r="AN200" i="1"/>
  <c r="AP200" i="1"/>
  <c r="AR200" i="1"/>
  <c r="AT200" i="1"/>
  <c r="AV200" i="1"/>
  <c r="AX200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I21" i="4"/>
  <c r="AD91" i="5"/>
  <c r="AZ205" i="1"/>
  <c r="BA205" i="1"/>
  <c r="BB205" i="1"/>
  <c r="CH205" i="1"/>
  <c r="CI205" i="1"/>
  <c r="CJ205" i="1"/>
  <c r="CK205" i="1"/>
  <c r="CL205" i="1"/>
  <c r="CM205" i="1"/>
  <c r="BC205" i="1" s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T20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T203" i="1"/>
  <c r="AZ200" i="1"/>
  <c r="BA200" i="1"/>
  <c r="BB200" i="1"/>
  <c r="CH200" i="1"/>
  <c r="CI200" i="1"/>
  <c r="CJ200" i="1"/>
  <c r="CK200" i="1"/>
  <c r="BC200" i="1" s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T200" i="1"/>
  <c r="AZ226" i="1"/>
  <c r="BA226" i="1"/>
  <c r="BB226" i="1"/>
  <c r="CH226" i="1"/>
  <c r="CI226" i="1"/>
  <c r="CJ226" i="1"/>
  <c r="CK226" i="1"/>
  <c r="CL226" i="1"/>
  <c r="BC226" i="1" s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T226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T349" i="1"/>
  <c r="AZ348" i="1"/>
  <c r="BA348" i="1"/>
  <c r="BB348" i="1"/>
  <c r="CH348" i="1"/>
  <c r="CI348" i="1"/>
  <c r="BC348" i="1" s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T348" i="1"/>
  <c r="A79" i="2"/>
  <c r="AA79" i="2"/>
  <c r="AB79" i="2"/>
  <c r="B108" i="4"/>
  <c r="AE79" i="2"/>
  <c r="AG79" i="2"/>
  <c r="AH79" i="2"/>
  <c r="AI79" i="2"/>
  <c r="AJ79" i="2"/>
  <c r="AM79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T429" i="1"/>
  <c r="AZ430" i="1"/>
  <c r="BA430" i="1"/>
  <c r="BB430" i="1"/>
  <c r="CH430" i="1"/>
  <c r="CI430" i="1"/>
  <c r="BC430" i="1" s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T430" i="1"/>
  <c r="AZ164" i="1"/>
  <c r="BA164" i="1"/>
  <c r="BB164" i="1"/>
  <c r="CH164" i="1"/>
  <c r="CI164" i="1"/>
  <c r="BC164" i="1" s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T164" i="1"/>
  <c r="B277" i="4"/>
  <c r="B276" i="4"/>
  <c r="B275" i="4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276" i="4"/>
  <c r="AA276" i="4"/>
  <c r="AB276" i="4"/>
  <c r="AC276" i="4"/>
  <c r="AD276" i="4"/>
  <c r="AE276" i="4"/>
  <c r="AF276" i="4"/>
  <c r="AG276" i="4"/>
  <c r="AH276" i="4"/>
  <c r="AJ276" i="4"/>
  <c r="AK276" i="4"/>
  <c r="AL276" i="4"/>
  <c r="B302" i="5"/>
  <c r="F302" i="5"/>
  <c r="H302" i="5"/>
  <c r="I302" i="5" s="1"/>
  <c r="AQ302" i="5" s="1"/>
  <c r="K302" i="5"/>
  <c r="Z302" i="5"/>
  <c r="AA302" i="5"/>
  <c r="AW302" i="5" s="1"/>
  <c r="AI277" i="4"/>
  <c r="AF302" i="5"/>
  <c r="AG302" i="5"/>
  <c r="AM302" i="5"/>
  <c r="AO302" i="5"/>
  <c r="BB302" i="5"/>
  <c r="BC302" i="5"/>
  <c r="BD302" i="5"/>
  <c r="BE302" i="5"/>
  <c r="D416" i="9"/>
  <c r="E416" i="9"/>
  <c r="F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A277" i="4"/>
  <c r="AB277" i="4"/>
  <c r="AC277" i="4"/>
  <c r="AD277" i="4"/>
  <c r="AE277" i="4"/>
  <c r="AF277" i="4"/>
  <c r="AG277" i="4"/>
  <c r="AH277" i="4"/>
  <c r="AJ277" i="4"/>
  <c r="AK277" i="4"/>
  <c r="AL277" i="4"/>
  <c r="B3" i="4"/>
  <c r="B301" i="5"/>
  <c r="F301" i="5"/>
  <c r="H301" i="5"/>
  <c r="I301" i="5"/>
  <c r="AQ301" i="5" s="1"/>
  <c r="K301" i="5"/>
  <c r="Z301" i="5"/>
  <c r="AA301" i="5"/>
  <c r="AW301" i="5" s="1"/>
  <c r="AI275" i="4"/>
  <c r="AF301" i="5"/>
  <c r="AG301" i="5"/>
  <c r="AM301" i="5"/>
  <c r="AO301" i="5"/>
  <c r="BB301" i="5"/>
  <c r="BC301" i="5"/>
  <c r="BD301" i="5"/>
  <c r="BE301" i="5"/>
  <c r="D415" i="9"/>
  <c r="E415" i="9"/>
  <c r="F415" i="9"/>
  <c r="H415" i="9"/>
  <c r="C417" i="7"/>
  <c r="D417" i="7"/>
  <c r="E417" i="7"/>
  <c r="K300" i="5"/>
  <c r="AG300" i="5"/>
  <c r="AF300" i="5"/>
  <c r="W300" i="5"/>
  <c r="AA300" i="5"/>
  <c r="AW300" i="5" s="1"/>
  <c r="H300" i="5"/>
  <c r="I300" i="5" s="1"/>
  <c r="AQ300" i="5" s="1"/>
  <c r="Z300" i="5"/>
  <c r="AA275" i="4"/>
  <c r="AB275" i="4"/>
  <c r="AC275" i="4"/>
  <c r="AD275" i="4"/>
  <c r="AE275" i="4"/>
  <c r="AF275" i="4"/>
  <c r="AG275" i="4"/>
  <c r="AH275" i="4"/>
  <c r="AJ275" i="4"/>
  <c r="AK275" i="4"/>
  <c r="AL275" i="4"/>
  <c r="B300" i="5"/>
  <c r="B86" i="4"/>
  <c r="F300" i="5"/>
  <c r="AI86" i="4"/>
  <c r="AM300" i="5"/>
  <c r="AO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G414" i="9" s="1"/>
  <c r="E414" i="9"/>
  <c r="F414" i="9"/>
  <c r="H414" i="9"/>
  <c r="E416" i="7"/>
  <c r="C416" i="7"/>
  <c r="D416" i="7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T343" i="1"/>
  <c r="AZ342" i="1"/>
  <c r="BA342" i="1"/>
  <c r="BB342" i="1"/>
  <c r="CH342" i="1"/>
  <c r="CI342" i="1"/>
  <c r="BC342" i="1" s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T342" i="1"/>
  <c r="AZ161" i="1"/>
  <c r="BA161" i="1"/>
  <c r="BB161" i="1"/>
  <c r="CH161" i="1"/>
  <c r="CI161" i="1"/>
  <c r="CJ161" i="1"/>
  <c r="CK161" i="1"/>
  <c r="BC161" i="1" s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T161" i="1"/>
  <c r="AZ341" i="1"/>
  <c r="BA341" i="1"/>
  <c r="BB341" i="1"/>
  <c r="CH341" i="1"/>
  <c r="CI341" i="1"/>
  <c r="BC341" i="1" s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T341" i="1"/>
  <c r="AZ340" i="1"/>
  <c r="BA340" i="1"/>
  <c r="BB340" i="1"/>
  <c r="CH340" i="1"/>
  <c r="CI340" i="1"/>
  <c r="BC340" i="1" s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T340" i="1"/>
  <c r="AZ339" i="1"/>
  <c r="BA339" i="1"/>
  <c r="BB339" i="1"/>
  <c r="CH339" i="1"/>
  <c r="CI339" i="1"/>
  <c r="CJ339" i="1"/>
  <c r="BC339" i="1" s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T339" i="1"/>
  <c r="AZ338" i="1"/>
  <c r="BA338" i="1"/>
  <c r="BB338" i="1"/>
  <c r="CH338" i="1"/>
  <c r="CI338" i="1"/>
  <c r="CJ338" i="1"/>
  <c r="CK338" i="1"/>
  <c r="BC338" i="1" s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T338" i="1"/>
  <c r="AZ337" i="1"/>
  <c r="BA337" i="1"/>
  <c r="BB337" i="1"/>
  <c r="CH337" i="1"/>
  <c r="CI337" i="1"/>
  <c r="CJ337" i="1"/>
  <c r="BC337" i="1" s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T337" i="1"/>
  <c r="AZ336" i="1"/>
  <c r="BA336" i="1"/>
  <c r="BB336" i="1"/>
  <c r="CH336" i="1"/>
  <c r="CI336" i="1"/>
  <c r="CJ336" i="1"/>
  <c r="CK336" i="1"/>
  <c r="CL336" i="1"/>
  <c r="CM336" i="1"/>
  <c r="BC336" i="1" s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BC334" i="1" s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T334" i="1"/>
  <c r="AZ333" i="1"/>
  <c r="BA333" i="1"/>
  <c r="BB333" i="1"/>
  <c r="CH333" i="1"/>
  <c r="CI333" i="1"/>
  <c r="BC333" i="1" s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T333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T350" i="1"/>
  <c r="A78" i="2"/>
  <c r="AA78" i="2"/>
  <c r="AB78" i="2"/>
  <c r="B110" i="4"/>
  <c r="I88" i="5"/>
  <c r="AE78" i="2"/>
  <c r="L60" i="5"/>
  <c r="AH78" i="2"/>
  <c r="AJ78" i="2"/>
  <c r="N60" i="5"/>
  <c r="O60" i="5"/>
  <c r="AK78" i="2"/>
  <c r="AM78" i="2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T95" i="1"/>
  <c r="AZ96" i="1"/>
  <c r="BA96" i="1"/>
  <c r="BB96" i="1"/>
  <c r="CH96" i="1"/>
  <c r="CI96" i="1"/>
  <c r="BC96" i="1" s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T96" i="1"/>
  <c r="AZ192" i="1"/>
  <c r="BA192" i="1"/>
  <c r="BB192" i="1"/>
  <c r="CH192" i="1"/>
  <c r="CI192" i="1"/>
  <c r="BC192" i="1" s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T192" i="1"/>
  <c r="AZ191" i="1"/>
  <c r="BA191" i="1"/>
  <c r="BB191" i="1"/>
  <c r="CH191" i="1"/>
  <c r="CI191" i="1"/>
  <c r="BC191" i="1" s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T191" i="1"/>
  <c r="AZ190" i="1"/>
  <c r="BA190" i="1"/>
  <c r="BB190" i="1"/>
  <c r="CH190" i="1"/>
  <c r="CI190" i="1"/>
  <c r="BC190" i="1" s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T190" i="1"/>
  <c r="B21" i="4"/>
  <c r="A77" i="2"/>
  <c r="AA77" i="2"/>
  <c r="AB77" i="2"/>
  <c r="B180" i="4"/>
  <c r="D180" i="4" s="1"/>
  <c r="E87" i="5" s="1"/>
  <c r="I87" i="5"/>
  <c r="AE77" i="2"/>
  <c r="AH77" i="2"/>
  <c r="AJ77" i="2"/>
  <c r="AM77" i="2"/>
  <c r="AZ188" i="1"/>
  <c r="BA188" i="1"/>
  <c r="BB188" i="1"/>
  <c r="CH188" i="1"/>
  <c r="CI188" i="1"/>
  <c r="BC188" i="1" s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T188" i="1"/>
  <c r="AZ189" i="1"/>
  <c r="BA189" i="1"/>
  <c r="BB189" i="1"/>
  <c r="CH189" i="1"/>
  <c r="CI189" i="1"/>
  <c r="BC189" i="1" s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T189" i="1"/>
  <c r="AZ270" i="1"/>
  <c r="BA270" i="1"/>
  <c r="BB270" i="1"/>
  <c r="CH270" i="1"/>
  <c r="CI270" i="1"/>
  <c r="BC270" i="1" s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T270" i="1"/>
  <c r="AZ146" i="1"/>
  <c r="BA146" i="1"/>
  <c r="BB146" i="1"/>
  <c r="CH146" i="1"/>
  <c r="CI146" i="1"/>
  <c r="CJ146" i="1"/>
  <c r="CK146" i="1"/>
  <c r="CL146" i="1"/>
  <c r="BC146" i="1" s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T146" i="1"/>
  <c r="AZ73" i="1"/>
  <c r="BA73" i="1"/>
  <c r="BB73" i="1"/>
  <c r="CH73" i="1"/>
  <c r="CI73" i="1"/>
  <c r="CJ73" i="1"/>
  <c r="BC73" i="1" s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T73" i="1"/>
  <c r="AZ251" i="1"/>
  <c r="BA251" i="1"/>
  <c r="BB251" i="1"/>
  <c r="CH251" i="1"/>
  <c r="CI251" i="1"/>
  <c r="BC251" i="1" s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T251" i="1"/>
  <c r="AZ145" i="1"/>
  <c r="BA145" i="1"/>
  <c r="BB145" i="1"/>
  <c r="CH145" i="1"/>
  <c r="CI145" i="1"/>
  <c r="BC145" i="1" s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T145" i="1"/>
  <c r="AZ144" i="1"/>
  <c r="BA144" i="1"/>
  <c r="BB144" i="1"/>
  <c r="CH144" i="1"/>
  <c r="CI144" i="1"/>
  <c r="CJ144" i="1"/>
  <c r="BC144" i="1" s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T143" i="1"/>
  <c r="AZ142" i="1"/>
  <c r="BA142" i="1"/>
  <c r="BB142" i="1"/>
  <c r="CH142" i="1"/>
  <c r="CI142" i="1"/>
  <c r="CJ142" i="1"/>
  <c r="BC142" i="1" s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T142" i="1"/>
  <c r="AZ141" i="1"/>
  <c r="BA141" i="1"/>
  <c r="BB141" i="1"/>
  <c r="CH141" i="1"/>
  <c r="CI141" i="1"/>
  <c r="BC141" i="1" s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T141" i="1"/>
  <c r="AZ140" i="1"/>
  <c r="BA140" i="1"/>
  <c r="BB140" i="1"/>
  <c r="CH140" i="1"/>
  <c r="CI140" i="1"/>
  <c r="BC140" i="1" s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T140" i="1"/>
  <c r="AZ139" i="1"/>
  <c r="BA139" i="1"/>
  <c r="BB139" i="1"/>
  <c r="CH139" i="1"/>
  <c r="CI139" i="1"/>
  <c r="CJ139" i="1"/>
  <c r="BC139" i="1" s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T139" i="1"/>
  <c r="AZ138" i="1"/>
  <c r="BA138" i="1"/>
  <c r="BB138" i="1"/>
  <c r="CH138" i="1"/>
  <c r="CI138" i="1"/>
  <c r="CJ138" i="1"/>
  <c r="CK138" i="1"/>
  <c r="BC138" i="1" s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T138" i="1"/>
  <c r="AZ425" i="1"/>
  <c r="BA425" i="1"/>
  <c r="BB425" i="1"/>
  <c r="CH425" i="1"/>
  <c r="CI425" i="1"/>
  <c r="BC425" i="1" s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T425" i="1"/>
  <c r="AZ424" i="1"/>
  <c r="BA424" i="1"/>
  <c r="BB424" i="1"/>
  <c r="CH424" i="1"/>
  <c r="CI424" i="1"/>
  <c r="CJ424" i="1"/>
  <c r="CK424" i="1"/>
  <c r="CL424" i="1"/>
  <c r="CM424" i="1"/>
  <c r="BC424" i="1" s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T424" i="1"/>
  <c r="B317" i="4"/>
  <c r="B316" i="4"/>
  <c r="B315" i="4"/>
  <c r="B312" i="4"/>
  <c r="B304" i="4"/>
  <c r="B305" i="4"/>
  <c r="B306" i="4"/>
  <c r="B307" i="4"/>
  <c r="B308" i="4"/>
  <c r="B311" i="4"/>
  <c r="B310" i="4"/>
  <c r="B309" i="4"/>
  <c r="B302" i="4"/>
  <c r="AZ423" i="1"/>
  <c r="BA423" i="1"/>
  <c r="BB423" i="1"/>
  <c r="CH423" i="1"/>
  <c r="CI423" i="1"/>
  <c r="CJ423" i="1"/>
  <c r="CK423" i="1"/>
  <c r="BC423" i="1" s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T423" i="1"/>
  <c r="B122" i="4"/>
  <c r="B13" i="4"/>
  <c r="AZ72" i="1"/>
  <c r="BA72" i="1"/>
  <c r="BB72" i="1"/>
  <c r="CH72" i="1"/>
  <c r="CI72" i="1"/>
  <c r="BC72" i="1" s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T72" i="1"/>
  <c r="AZ187" i="1"/>
  <c r="BA187" i="1"/>
  <c r="BB187" i="1"/>
  <c r="CH187" i="1"/>
  <c r="CI187" i="1"/>
  <c r="CJ187" i="1"/>
  <c r="CK187" i="1"/>
  <c r="CL187" i="1"/>
  <c r="CM187" i="1"/>
  <c r="BC187" i="1" s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T187" i="1"/>
  <c r="AA76" i="2"/>
  <c r="AB76" i="2"/>
  <c r="B164" i="4"/>
  <c r="I240" i="5"/>
  <c r="AE76" i="2"/>
  <c r="AH76" i="2"/>
  <c r="AJ76" i="2"/>
  <c r="AM76" i="2"/>
  <c r="AZ185" i="1"/>
  <c r="BA185" i="1"/>
  <c r="BB185" i="1"/>
  <c r="CH185" i="1"/>
  <c r="CI185" i="1"/>
  <c r="BC185" i="1" s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T185" i="1"/>
  <c r="AZ186" i="1"/>
  <c r="BA186" i="1"/>
  <c r="BB186" i="1"/>
  <c r="CH186" i="1"/>
  <c r="CI186" i="1"/>
  <c r="BC186" i="1" s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T186" i="1"/>
  <c r="AZ384" i="1"/>
  <c r="BA384" i="1"/>
  <c r="BB384" i="1"/>
  <c r="CH384" i="1"/>
  <c r="CI384" i="1"/>
  <c r="CJ384" i="1"/>
  <c r="BC384" i="1" s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T384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163" i="4"/>
  <c r="L240" i="5"/>
  <c r="N240" i="5"/>
  <c r="O240" i="5" s="1"/>
  <c r="Z240" i="5"/>
  <c r="AI163" i="4"/>
  <c r="AI164" i="4"/>
  <c r="AF240" i="5"/>
  <c r="AG240" i="5"/>
  <c r="AM240" i="5"/>
  <c r="AO240" i="5"/>
  <c r="BB240" i="5"/>
  <c r="BC240" i="5"/>
  <c r="BD240" i="5"/>
  <c r="BE240" i="5"/>
  <c r="BF240" i="5"/>
  <c r="AA164" i="4"/>
  <c r="AB164" i="4"/>
  <c r="AC164" i="4"/>
  <c r="AD164" i="4"/>
  <c r="AE164" i="4"/>
  <c r="AF164" i="4"/>
  <c r="AG164" i="4"/>
  <c r="AH164" i="4"/>
  <c r="AJ164" i="4"/>
  <c r="AK164" i="4"/>
  <c r="AL164" i="4"/>
  <c r="AA75" i="2"/>
  <c r="AB75" i="2"/>
  <c r="B386" i="4"/>
  <c r="AE75" i="2"/>
  <c r="AH75" i="2"/>
  <c r="AJ75" i="2"/>
  <c r="AM75" i="2"/>
  <c r="D335" i="9"/>
  <c r="G335" i="9" s="1"/>
  <c r="E335" i="9"/>
  <c r="F335" i="9"/>
  <c r="H335" i="9"/>
  <c r="C415" i="7"/>
  <c r="D415" i="7"/>
  <c r="E415" i="7"/>
  <c r="AZ382" i="1"/>
  <c r="BA382" i="1"/>
  <c r="BB382" i="1"/>
  <c r="CH382" i="1"/>
  <c r="CI382" i="1"/>
  <c r="BC382" i="1" s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T382" i="1"/>
  <c r="AZ383" i="1"/>
  <c r="BA383" i="1"/>
  <c r="BB383" i="1"/>
  <c r="CH383" i="1"/>
  <c r="CI383" i="1"/>
  <c r="CJ383" i="1"/>
  <c r="BC383" i="1" s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T383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5" i="4"/>
  <c r="F385" i="5"/>
  <c r="H385" i="5"/>
  <c r="I385" i="5"/>
  <c r="Z385" i="5"/>
  <c r="AM385" i="5"/>
  <c r="AO385" i="5"/>
  <c r="AQ385" i="5"/>
  <c r="BB385" i="5"/>
  <c r="BC385" i="5"/>
  <c r="BD385" i="5"/>
  <c r="BE385" i="5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74" i="2"/>
  <c r="AB74" i="2"/>
  <c r="B137" i="4"/>
  <c r="AD74" i="2"/>
  <c r="AE74" i="2"/>
  <c r="K260" i="5"/>
  <c r="AG73" i="2" s="1"/>
  <c r="AH74" i="2"/>
  <c r="AJ74" i="2"/>
  <c r="AM74" i="2"/>
  <c r="A7" i="14"/>
  <c r="G7" i="14" s="1"/>
  <c r="B7" i="14"/>
  <c r="C7" i="14"/>
  <c r="F7" i="14"/>
  <c r="H7" i="14"/>
  <c r="D408" i="9"/>
  <c r="E408" i="9"/>
  <c r="F408" i="9"/>
  <c r="G408" i="9" s="1"/>
  <c r="H408" i="9"/>
  <c r="C414" i="7"/>
  <c r="D414" i="7"/>
  <c r="E414" i="7"/>
  <c r="AZ460" i="1"/>
  <c r="BA460" i="1"/>
  <c r="BB460" i="1"/>
  <c r="CH460" i="1"/>
  <c r="CI460" i="1"/>
  <c r="CJ460" i="1"/>
  <c r="CK460" i="1"/>
  <c r="CL460" i="1"/>
  <c r="BC460" i="1" s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T460" i="1"/>
  <c r="AZ461" i="1"/>
  <c r="BA461" i="1"/>
  <c r="BB461" i="1"/>
  <c r="CH461" i="1"/>
  <c r="CI461" i="1"/>
  <c r="BC461" i="1" s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T461" i="1"/>
  <c r="AZ199" i="1"/>
  <c r="BA199" i="1"/>
  <c r="BB199" i="1"/>
  <c r="CH199" i="1"/>
  <c r="CI199" i="1"/>
  <c r="CJ199" i="1"/>
  <c r="BC199" i="1" s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T199" i="1"/>
  <c r="AA73" i="2"/>
  <c r="AB73" i="2"/>
  <c r="B225" i="4"/>
  <c r="I196" i="5"/>
  <c r="AD72" i="2" s="1"/>
  <c r="AE73" i="2"/>
  <c r="AH73" i="2"/>
  <c r="AJ73" i="2"/>
  <c r="AM73" i="2"/>
  <c r="AZ180" i="1"/>
  <c r="BA180" i="1"/>
  <c r="BB180" i="1"/>
  <c r="CH180" i="1"/>
  <c r="CI180" i="1"/>
  <c r="BC180" i="1" s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T180" i="1"/>
  <c r="AZ181" i="1"/>
  <c r="BA181" i="1"/>
  <c r="BB181" i="1"/>
  <c r="CH181" i="1"/>
  <c r="CI181" i="1"/>
  <c r="BC181" i="1" s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T181" i="1"/>
  <c r="AZ321" i="1"/>
  <c r="BA321" i="1"/>
  <c r="BB321" i="1"/>
  <c r="CH321" i="1"/>
  <c r="CI321" i="1"/>
  <c r="CJ321" i="1"/>
  <c r="CK321" i="1"/>
  <c r="CL321" i="1"/>
  <c r="BC321" i="1" s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T321" i="1"/>
  <c r="AZ71" i="1"/>
  <c r="BA71" i="1"/>
  <c r="BB71" i="1"/>
  <c r="CH71" i="1"/>
  <c r="CI71" i="1"/>
  <c r="BC71" i="1" s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T71" i="1"/>
  <c r="AZ320" i="1"/>
  <c r="BA320" i="1"/>
  <c r="BB320" i="1"/>
  <c r="CH320" i="1"/>
  <c r="CI320" i="1"/>
  <c r="CJ320" i="1"/>
  <c r="BC320" i="1" s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T320" i="1"/>
  <c r="AZ319" i="1"/>
  <c r="BA319" i="1"/>
  <c r="BB319" i="1"/>
  <c r="CH319" i="1"/>
  <c r="CI319" i="1"/>
  <c r="BC319" i="1" s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T319" i="1"/>
  <c r="AZ225" i="1"/>
  <c r="BA225" i="1"/>
  <c r="BB225" i="1"/>
  <c r="CH225" i="1"/>
  <c r="CI225" i="1"/>
  <c r="BC225" i="1" s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T225" i="1"/>
  <c r="I197" i="5"/>
  <c r="I198" i="5"/>
  <c r="AZ318" i="1"/>
  <c r="BA318" i="1"/>
  <c r="BB318" i="1"/>
  <c r="CH318" i="1"/>
  <c r="CI318" i="1"/>
  <c r="BC318" i="1" s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T318" i="1"/>
  <c r="AZ269" i="1"/>
  <c r="BA269" i="1"/>
  <c r="BB269" i="1"/>
  <c r="CH269" i="1"/>
  <c r="CI269" i="1"/>
  <c r="BC269" i="1" s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T269" i="1"/>
  <c r="AA72" i="2"/>
  <c r="AB72" i="2"/>
  <c r="B72" i="4"/>
  <c r="AE72" i="2"/>
  <c r="AH72" i="2"/>
  <c r="AJ72" i="2"/>
  <c r="AM72" i="2"/>
  <c r="AZ268" i="1"/>
  <c r="BA268" i="1"/>
  <c r="BB268" i="1"/>
  <c r="CH268" i="1"/>
  <c r="CI268" i="1"/>
  <c r="BC268" i="1" s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T267" i="1"/>
  <c r="AZ70" i="1"/>
  <c r="BA70" i="1"/>
  <c r="BB70" i="1"/>
  <c r="CH70" i="1"/>
  <c r="CI70" i="1"/>
  <c r="BC70" i="1" s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T70" i="1"/>
  <c r="AZ137" i="1"/>
  <c r="BA137" i="1"/>
  <c r="BB137" i="1"/>
  <c r="CH137" i="1"/>
  <c r="CI137" i="1"/>
  <c r="CJ137" i="1"/>
  <c r="BC137" i="1" s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T137" i="1"/>
  <c r="AZ459" i="1"/>
  <c r="BA459" i="1"/>
  <c r="BB459" i="1"/>
  <c r="CH459" i="1"/>
  <c r="CI459" i="1"/>
  <c r="CJ459" i="1"/>
  <c r="CK459" i="1"/>
  <c r="BC459" i="1" s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T459" i="1"/>
  <c r="AZ135" i="1"/>
  <c r="BA135" i="1"/>
  <c r="BB135" i="1"/>
  <c r="CH135" i="1"/>
  <c r="CI135" i="1"/>
  <c r="BC135" i="1" s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T135" i="1"/>
  <c r="AZ86" i="1"/>
  <c r="BA86" i="1"/>
  <c r="BB86" i="1"/>
  <c r="CH86" i="1"/>
  <c r="CI86" i="1"/>
  <c r="CJ86" i="1"/>
  <c r="CK86" i="1"/>
  <c r="CL86" i="1"/>
  <c r="CM86" i="1"/>
  <c r="BC86" i="1" s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1" i="1"/>
  <c r="BA91" i="1"/>
  <c r="BB91" i="1"/>
  <c r="CH91" i="1"/>
  <c r="CI91" i="1"/>
  <c r="BC91" i="1" s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T91" i="1"/>
  <c r="AZ436" i="1"/>
  <c r="BA436" i="1"/>
  <c r="BB436" i="1"/>
  <c r="CH436" i="1"/>
  <c r="CI436" i="1"/>
  <c r="BC436" i="1" s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T436" i="1"/>
  <c r="AZ435" i="1"/>
  <c r="BA435" i="1"/>
  <c r="BB435" i="1"/>
  <c r="CH435" i="1"/>
  <c r="CI435" i="1"/>
  <c r="CJ435" i="1"/>
  <c r="CK435" i="1"/>
  <c r="CL435" i="1"/>
  <c r="BC435" i="1" s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T435" i="1"/>
  <c r="AZ434" i="1"/>
  <c r="BA434" i="1"/>
  <c r="BB434" i="1"/>
  <c r="CH434" i="1"/>
  <c r="CI434" i="1"/>
  <c r="BC434" i="1" s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T434" i="1"/>
  <c r="AZ69" i="1"/>
  <c r="BA69" i="1"/>
  <c r="BB69" i="1"/>
  <c r="CH69" i="1"/>
  <c r="CI69" i="1"/>
  <c r="CJ69" i="1"/>
  <c r="BC69" i="1" s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T69" i="1"/>
  <c r="AZ256" i="1"/>
  <c r="BA256" i="1"/>
  <c r="BB256" i="1"/>
  <c r="CH256" i="1"/>
  <c r="CI256" i="1"/>
  <c r="BC256" i="1" s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T256" i="1"/>
  <c r="AZ255" i="1"/>
  <c r="BA255" i="1"/>
  <c r="BB255" i="1"/>
  <c r="CH255" i="1"/>
  <c r="CI255" i="1"/>
  <c r="BC255" i="1" s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T255" i="1"/>
  <c r="AZ254" i="1"/>
  <c r="BA254" i="1"/>
  <c r="BB254" i="1"/>
  <c r="CH254" i="1"/>
  <c r="CI254" i="1"/>
  <c r="CJ254" i="1"/>
  <c r="BC254" i="1" s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T254" i="1"/>
  <c r="AA71" i="2"/>
  <c r="AB71" i="2"/>
  <c r="B71" i="4"/>
  <c r="D71" i="4" s="1"/>
  <c r="E190" i="5" s="1"/>
  <c r="AE71" i="2"/>
  <c r="AH71" i="2"/>
  <c r="AJ71" i="2"/>
  <c r="AM71" i="2"/>
  <c r="AZ252" i="1"/>
  <c r="BA252" i="1"/>
  <c r="BB252" i="1"/>
  <c r="CH252" i="1"/>
  <c r="CI252" i="1"/>
  <c r="CJ252" i="1"/>
  <c r="CK252" i="1"/>
  <c r="CL252" i="1"/>
  <c r="CM252" i="1"/>
  <c r="BC252" i="1" s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0" i="1"/>
  <c r="BA250" i="1"/>
  <c r="BB250" i="1"/>
  <c r="CH250" i="1"/>
  <c r="CI250" i="1"/>
  <c r="BC250" i="1" s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T250" i="1"/>
  <c r="AZ249" i="1"/>
  <c r="BA249" i="1"/>
  <c r="BB249" i="1"/>
  <c r="CH249" i="1"/>
  <c r="CI249" i="1"/>
  <c r="BC249" i="1" s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BC248" i="1" s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H247" i="1"/>
  <c r="CI247" i="1"/>
  <c r="CJ247" i="1"/>
  <c r="BC247" i="1" s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AZ248" i="1"/>
  <c r="BA248" i="1"/>
  <c r="BB248" i="1"/>
  <c r="AA70" i="2"/>
  <c r="AB70" i="2"/>
  <c r="B53" i="4"/>
  <c r="AE70" i="2"/>
  <c r="AH70" i="2"/>
  <c r="AJ70" i="2"/>
  <c r="AM70" i="2"/>
  <c r="AZ246" i="1"/>
  <c r="BA246" i="1"/>
  <c r="BB246" i="1"/>
  <c r="CH246" i="1"/>
  <c r="CI246" i="1"/>
  <c r="BC246" i="1" s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T246" i="1"/>
  <c r="AZ247" i="1"/>
  <c r="BA247" i="1"/>
  <c r="BB247" i="1"/>
  <c r="CT247" i="1"/>
  <c r="AZ263" i="1"/>
  <c r="BA263" i="1"/>
  <c r="BB263" i="1"/>
  <c r="CH263" i="1"/>
  <c r="CI263" i="1"/>
  <c r="BC263" i="1" s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T263" i="1"/>
  <c r="AZ262" i="1"/>
  <c r="BA262" i="1"/>
  <c r="BB262" i="1"/>
  <c r="CH262" i="1"/>
  <c r="CI262" i="1"/>
  <c r="BC262" i="1" s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T262" i="1"/>
  <c r="AZ56" i="1"/>
  <c r="BA56" i="1"/>
  <c r="BB56" i="1"/>
  <c r="CH56" i="1"/>
  <c r="CI56" i="1"/>
  <c r="CJ56" i="1"/>
  <c r="CK56" i="1"/>
  <c r="CL56" i="1"/>
  <c r="BC56" i="1" s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T56" i="1"/>
  <c r="AZ55" i="1"/>
  <c r="BA55" i="1"/>
  <c r="BB55" i="1"/>
  <c r="CH55" i="1"/>
  <c r="CI55" i="1"/>
  <c r="BC55" i="1" s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T55" i="1"/>
  <c r="AZ127" i="1"/>
  <c r="BA127" i="1"/>
  <c r="BB127" i="1"/>
  <c r="CH127" i="1"/>
  <c r="CI127" i="1"/>
  <c r="CJ127" i="1"/>
  <c r="BC127" i="1" s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T127" i="1"/>
  <c r="AA69" i="2"/>
  <c r="AB69" i="2"/>
  <c r="AE69" i="2"/>
  <c r="L91" i="5"/>
  <c r="K91" i="5"/>
  <c r="AI68" i="2" s="1"/>
  <c r="AH69" i="2"/>
  <c r="AJ69" i="2"/>
  <c r="O91" i="5"/>
  <c r="N91" i="5"/>
  <c r="AM69" i="2"/>
  <c r="AZ8" i="1"/>
  <c r="BA8" i="1"/>
  <c r="BB8" i="1"/>
  <c r="CH8" i="1"/>
  <c r="CI8" i="1"/>
  <c r="CJ8" i="1"/>
  <c r="CK8" i="1"/>
  <c r="CL8" i="1"/>
  <c r="BC8" i="1" s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CT8" i="1"/>
  <c r="AZ7" i="1"/>
  <c r="BA7" i="1"/>
  <c r="BB7" i="1"/>
  <c r="CH7" i="1"/>
  <c r="CI7" i="1"/>
  <c r="BC7" i="1" s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CT7" i="1"/>
  <c r="AZ9" i="1"/>
  <c r="BA9" i="1"/>
  <c r="BB9" i="1"/>
  <c r="CH9" i="1"/>
  <c r="CI9" i="1"/>
  <c r="CJ9" i="1"/>
  <c r="BC9" i="1" s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CT9" i="1"/>
  <c r="AA68" i="2"/>
  <c r="AB68" i="2"/>
  <c r="B378" i="4"/>
  <c r="AE68" i="2"/>
  <c r="AH68" i="2"/>
  <c r="AJ68" i="2"/>
  <c r="R91" i="5"/>
  <c r="AM68" i="2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BC201" i="1" s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T201" i="1"/>
  <c r="AZ198" i="1"/>
  <c r="BA198" i="1"/>
  <c r="BB198" i="1"/>
  <c r="CH198" i="1"/>
  <c r="CI198" i="1"/>
  <c r="BC198" i="1" s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T198" i="1"/>
  <c r="AZ152" i="1"/>
  <c r="BA152" i="1"/>
  <c r="BB152" i="1"/>
  <c r="CH152" i="1"/>
  <c r="CI152" i="1"/>
  <c r="CJ152" i="1"/>
  <c r="CK152" i="1"/>
  <c r="CL152" i="1"/>
  <c r="BC152" i="1" s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T152" i="1"/>
  <c r="AA67" i="2"/>
  <c r="AB67" i="2"/>
  <c r="B119" i="4"/>
  <c r="I241" i="5"/>
  <c r="AE67" i="2"/>
  <c r="K241" i="5"/>
  <c r="AG66" i="2" s="1"/>
  <c r="AH67" i="2"/>
  <c r="AJ67" i="2"/>
  <c r="AM67" i="2"/>
  <c r="AZ447" i="1"/>
  <c r="BA447" i="1"/>
  <c r="BB447" i="1"/>
  <c r="CH447" i="1"/>
  <c r="CI447" i="1"/>
  <c r="BC447" i="1" s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T447" i="1"/>
  <c r="AZ448" i="1"/>
  <c r="BA448" i="1"/>
  <c r="BB448" i="1"/>
  <c r="CH448" i="1"/>
  <c r="CI448" i="1"/>
  <c r="CJ448" i="1"/>
  <c r="BC448" i="1" s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T448" i="1"/>
  <c r="AZ446" i="1"/>
  <c r="BA446" i="1"/>
  <c r="BB446" i="1"/>
  <c r="CH446" i="1"/>
  <c r="CI446" i="1"/>
  <c r="CJ446" i="1"/>
  <c r="CK446" i="1"/>
  <c r="BC446" i="1" s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T446" i="1"/>
  <c r="AZ445" i="1"/>
  <c r="BA445" i="1"/>
  <c r="BB445" i="1"/>
  <c r="CH445" i="1"/>
  <c r="CI445" i="1"/>
  <c r="BC445" i="1" s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T445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B265" i="4"/>
  <c r="B266" i="4"/>
  <c r="N226" i="5"/>
  <c r="L226" i="5"/>
  <c r="B229" i="4"/>
  <c r="B289" i="4"/>
  <c r="B139" i="4"/>
  <c r="B92" i="4"/>
  <c r="B222" i="4"/>
  <c r="B30" i="4"/>
  <c r="B2" i="4"/>
  <c r="B18" i="4"/>
  <c r="B19" i="4"/>
  <c r="B20" i="4"/>
  <c r="B146" i="4"/>
  <c r="B192" i="4"/>
  <c r="B130" i="4"/>
  <c r="B151" i="4"/>
  <c r="B256" i="4"/>
  <c r="B48" i="4"/>
  <c r="B198" i="4"/>
  <c r="B118" i="4"/>
  <c r="B100" i="4"/>
  <c r="B227" i="4"/>
  <c r="B152" i="4"/>
  <c r="B153" i="4"/>
  <c r="B5" i="4"/>
  <c r="B221" i="4"/>
  <c r="B61" i="4"/>
  <c r="B291" i="4"/>
  <c r="B238" i="4"/>
  <c r="B121" i="4"/>
  <c r="B22" i="4"/>
  <c r="B23" i="4"/>
  <c r="B297" i="4"/>
  <c r="B292" i="4"/>
  <c r="B124" i="4"/>
  <c r="B125" i="4"/>
  <c r="B6" i="4"/>
  <c r="B7" i="4"/>
  <c r="B8" i="4"/>
  <c r="B9" i="4"/>
  <c r="B301" i="4"/>
  <c r="B73" i="4"/>
  <c r="B191" i="4"/>
  <c r="B129" i="4"/>
  <c r="B263" i="4"/>
  <c r="B280" i="4"/>
  <c r="B270" i="4"/>
  <c r="B244" i="4"/>
  <c r="B230" i="4"/>
  <c r="B196" i="4"/>
  <c r="B101" i="4"/>
  <c r="B202" i="4"/>
  <c r="B203" i="4"/>
  <c r="B274" i="4"/>
  <c r="B149" i="4"/>
  <c r="B150" i="4"/>
  <c r="B133" i="4"/>
  <c r="B190" i="4"/>
  <c r="AZ117" i="1"/>
  <c r="BA117" i="1"/>
  <c r="BB117" i="1"/>
  <c r="CH117" i="1"/>
  <c r="CI117" i="1"/>
  <c r="BC117" i="1" s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T117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A66" i="2"/>
  <c r="AB66" i="2"/>
  <c r="I226" i="5"/>
  <c r="AE66" i="2"/>
  <c r="L241" i="5"/>
  <c r="AH66" i="2"/>
  <c r="AJ66" i="2"/>
  <c r="O226" i="5"/>
  <c r="AK65" i="2" s="1"/>
  <c r="AK66" i="2"/>
  <c r="AM66" i="2"/>
  <c r="AZ391" i="1"/>
  <c r="BA391" i="1"/>
  <c r="BB391" i="1"/>
  <c r="CH391" i="1"/>
  <c r="CI391" i="1"/>
  <c r="BC391" i="1" s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T391" i="1"/>
  <c r="AZ392" i="1"/>
  <c r="BA392" i="1"/>
  <c r="BB392" i="1"/>
  <c r="CH392" i="1"/>
  <c r="CI392" i="1"/>
  <c r="BC392" i="1" s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T392" i="1"/>
  <c r="AZ172" i="1"/>
  <c r="BA172" i="1"/>
  <c r="BB172" i="1"/>
  <c r="CH172" i="1"/>
  <c r="CI172" i="1"/>
  <c r="CJ172" i="1"/>
  <c r="BC172" i="1" s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T172" i="1"/>
  <c r="AZ171" i="1"/>
  <c r="BA171" i="1"/>
  <c r="BB171" i="1"/>
  <c r="CH171" i="1"/>
  <c r="CI171" i="1"/>
  <c r="CJ171" i="1"/>
  <c r="CK171" i="1"/>
  <c r="BC171" i="1" s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T171" i="1"/>
  <c r="AZ261" i="1"/>
  <c r="BA261" i="1"/>
  <c r="BB261" i="1"/>
  <c r="CH261" i="1"/>
  <c r="CI261" i="1"/>
  <c r="BC261" i="1" s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BC259" i="1" s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T259" i="1"/>
  <c r="AA64" i="2"/>
  <c r="AB64" i="2"/>
  <c r="B271" i="4"/>
  <c r="I225" i="5"/>
  <c r="AE64" i="2"/>
  <c r="L225" i="5"/>
  <c r="AH64" i="2"/>
  <c r="AJ64" i="2"/>
  <c r="N225" i="5"/>
  <c r="O225" i="5"/>
  <c r="AK64" i="2" s="1"/>
  <c r="AM64" i="2"/>
  <c r="AG171" i="5"/>
  <c r="AF171" i="5"/>
  <c r="K171" i="5"/>
  <c r="T171" i="5"/>
  <c r="U171" i="5"/>
  <c r="AA171" i="5"/>
  <c r="AI127" i="4"/>
  <c r="AZ178" i="1"/>
  <c r="BA178" i="1"/>
  <c r="BB178" i="1"/>
  <c r="CH178" i="1"/>
  <c r="CI178" i="1"/>
  <c r="BC178" i="1" s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T178" i="1"/>
  <c r="AD78" i="5"/>
  <c r="AI173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AI178" i="4"/>
  <c r="AZ179" i="1"/>
  <c r="BA179" i="1"/>
  <c r="BB179" i="1"/>
  <c r="CH179" i="1"/>
  <c r="CI179" i="1"/>
  <c r="BC179" i="1" s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T179" i="1"/>
  <c r="AZ368" i="1"/>
  <c r="BA368" i="1"/>
  <c r="BB368" i="1"/>
  <c r="CH368" i="1"/>
  <c r="CI368" i="1"/>
  <c r="BC368" i="1" s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T368" i="1"/>
  <c r="AZ367" i="1"/>
  <c r="BA367" i="1"/>
  <c r="BB367" i="1"/>
  <c r="CH367" i="1"/>
  <c r="CI367" i="1"/>
  <c r="CJ367" i="1"/>
  <c r="BC367" i="1" s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T367" i="1"/>
  <c r="AZ369" i="1"/>
  <c r="BA369" i="1"/>
  <c r="BB369" i="1"/>
  <c r="CH369" i="1"/>
  <c r="CI369" i="1"/>
  <c r="CJ369" i="1"/>
  <c r="CK369" i="1"/>
  <c r="BC369" i="1" s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T369" i="1"/>
  <c r="AZ372" i="1"/>
  <c r="BA372" i="1"/>
  <c r="BB372" i="1"/>
  <c r="CH372" i="1"/>
  <c r="CI372" i="1"/>
  <c r="BC372" i="1" s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T372" i="1"/>
  <c r="AA65" i="2"/>
  <c r="AB65" i="2"/>
  <c r="AE65" i="2"/>
  <c r="AH65" i="2"/>
  <c r="AJ65" i="2"/>
  <c r="AM65" i="2"/>
  <c r="AZ371" i="1"/>
  <c r="BA371" i="1"/>
  <c r="BB371" i="1"/>
  <c r="CH371" i="1"/>
  <c r="CI371" i="1"/>
  <c r="CJ371" i="1"/>
  <c r="BC371" i="1" s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T371" i="1"/>
  <c r="AZ366" i="1"/>
  <c r="BA366" i="1"/>
  <c r="BB366" i="1"/>
  <c r="CH366" i="1"/>
  <c r="CI366" i="1"/>
  <c r="CJ366" i="1"/>
  <c r="CK366" i="1"/>
  <c r="BC366" i="1" s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T366" i="1"/>
  <c r="AA63" i="2"/>
  <c r="AB63" i="2"/>
  <c r="AE63" i="2"/>
  <c r="K314" i="5"/>
  <c r="AI62" i="2" s="1"/>
  <c r="AH63" i="2"/>
  <c r="AJ63" i="2"/>
  <c r="O314" i="5"/>
  <c r="AM63" i="2"/>
  <c r="AZ258" i="1"/>
  <c r="BA258" i="1"/>
  <c r="BB258" i="1"/>
  <c r="CH258" i="1"/>
  <c r="CI258" i="1"/>
  <c r="CJ258" i="1"/>
  <c r="CK258" i="1"/>
  <c r="CL258" i="1"/>
  <c r="BC258" i="1" s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T258" i="1"/>
  <c r="AZ257" i="1"/>
  <c r="BA257" i="1"/>
  <c r="BB257" i="1"/>
  <c r="CH257" i="1"/>
  <c r="CI257" i="1"/>
  <c r="BC257" i="1" s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T257" i="1"/>
  <c r="AZ85" i="1"/>
  <c r="BA85" i="1"/>
  <c r="BB85" i="1"/>
  <c r="CH85" i="1"/>
  <c r="CI85" i="1"/>
  <c r="CJ85" i="1"/>
  <c r="BC85" i="1" s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T85" i="1"/>
  <c r="AZ84" i="1"/>
  <c r="BA84" i="1"/>
  <c r="BB84" i="1"/>
  <c r="CH84" i="1"/>
  <c r="CI84" i="1"/>
  <c r="BC84" i="1" s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T84" i="1"/>
  <c r="AZ83" i="1"/>
  <c r="BA83" i="1"/>
  <c r="BB83" i="1"/>
  <c r="CH83" i="1"/>
  <c r="CI83" i="1"/>
  <c r="BC83" i="1" s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T83" i="1"/>
  <c r="AZ82" i="1"/>
  <c r="BA82" i="1"/>
  <c r="BB82" i="1"/>
  <c r="CH82" i="1"/>
  <c r="CI82" i="1"/>
  <c r="CJ82" i="1"/>
  <c r="BC82" i="1" s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T82" i="1"/>
  <c r="AZ81" i="1"/>
  <c r="BA81" i="1"/>
  <c r="BB81" i="1"/>
  <c r="CH81" i="1"/>
  <c r="CI81" i="1"/>
  <c r="CJ81" i="1"/>
  <c r="CK81" i="1"/>
  <c r="BC81" i="1" s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T81" i="1"/>
  <c r="AZ224" i="1"/>
  <c r="BA224" i="1"/>
  <c r="BB224" i="1"/>
  <c r="CH224" i="1"/>
  <c r="CI224" i="1"/>
  <c r="BC224" i="1" s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A62" i="2"/>
  <c r="AB62" i="2"/>
  <c r="B282" i="4"/>
  <c r="I222" i="5"/>
  <c r="AE62" i="2"/>
  <c r="AH62" i="2"/>
  <c r="AJ62" i="2"/>
  <c r="AM62" i="2"/>
  <c r="AZ433" i="1"/>
  <c r="BA433" i="1"/>
  <c r="BB433" i="1"/>
  <c r="CH433" i="1"/>
  <c r="CI433" i="1"/>
  <c r="CJ433" i="1"/>
  <c r="CK433" i="1"/>
  <c r="CL433" i="1"/>
  <c r="BC433" i="1" s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T433" i="1"/>
  <c r="AZ432" i="1"/>
  <c r="BA432" i="1"/>
  <c r="BB432" i="1"/>
  <c r="CH432" i="1"/>
  <c r="CI432" i="1"/>
  <c r="BC432" i="1" s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T432" i="1"/>
  <c r="AZ136" i="1"/>
  <c r="BA136" i="1"/>
  <c r="BB136" i="1"/>
  <c r="CH136" i="1"/>
  <c r="CI136" i="1"/>
  <c r="CJ136" i="1"/>
  <c r="BC136" i="1" s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T136" i="1"/>
  <c r="AZ177" i="1"/>
  <c r="BA177" i="1"/>
  <c r="BB177" i="1"/>
  <c r="CH177" i="1"/>
  <c r="CI177" i="1"/>
  <c r="BC177" i="1" s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T177" i="1"/>
  <c r="AZ176" i="1"/>
  <c r="BA176" i="1"/>
  <c r="BB176" i="1"/>
  <c r="CH176" i="1"/>
  <c r="CI176" i="1"/>
  <c r="BC176" i="1" s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T176" i="1"/>
  <c r="AZ116" i="1"/>
  <c r="BA116" i="1"/>
  <c r="BB116" i="1"/>
  <c r="CH116" i="1"/>
  <c r="CI116" i="1"/>
  <c r="CJ116" i="1"/>
  <c r="BC116" i="1" s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T116" i="1"/>
  <c r="AZ115" i="1"/>
  <c r="BA115" i="1"/>
  <c r="BB115" i="1"/>
  <c r="CH115" i="1"/>
  <c r="CI115" i="1"/>
  <c r="CJ115" i="1"/>
  <c r="CK115" i="1"/>
  <c r="BC115" i="1" s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T115" i="1"/>
  <c r="AZ114" i="1"/>
  <c r="BA114" i="1"/>
  <c r="BB114" i="1"/>
  <c r="CH114" i="1"/>
  <c r="CI114" i="1"/>
  <c r="BC114" i="1" s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BC112" i="1" s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T112" i="1"/>
  <c r="AZ317" i="1"/>
  <c r="BA317" i="1"/>
  <c r="BB317" i="1"/>
  <c r="CH317" i="1"/>
  <c r="CI317" i="1"/>
  <c r="BC317" i="1" s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T317" i="1"/>
  <c r="AZ370" i="1"/>
  <c r="BA370" i="1"/>
  <c r="BB370" i="1"/>
  <c r="CH370" i="1"/>
  <c r="CI370" i="1"/>
  <c r="BC370" i="1" s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T370" i="1"/>
  <c r="AA61" i="2"/>
  <c r="AB61" i="2"/>
  <c r="AE61" i="2"/>
  <c r="K304" i="5"/>
  <c r="AI60" i="2" s="1"/>
  <c r="L222" i="5"/>
  <c r="AH61" i="2"/>
  <c r="AJ61" i="2"/>
  <c r="O304" i="5"/>
  <c r="N222" i="5"/>
  <c r="O222" i="5"/>
  <c r="AK61" i="2" s="1"/>
  <c r="AM61" i="2"/>
  <c r="AZ365" i="1"/>
  <c r="BA365" i="1"/>
  <c r="BB365" i="1"/>
  <c r="CH365" i="1"/>
  <c r="CI365" i="1"/>
  <c r="BC365" i="1" s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T365" i="1"/>
  <c r="AZ364" i="1"/>
  <c r="BA364" i="1"/>
  <c r="BB364" i="1"/>
  <c r="CH364" i="1"/>
  <c r="CI364" i="1"/>
  <c r="CJ364" i="1"/>
  <c r="BC364" i="1" s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T364" i="1"/>
  <c r="AA60" i="2"/>
  <c r="AB60" i="2"/>
  <c r="AE60" i="2"/>
  <c r="K299" i="5"/>
  <c r="AG59" i="2" s="1"/>
  <c r="AH60" i="2"/>
  <c r="AJ60" i="2"/>
  <c r="O299" i="5"/>
  <c r="AM60" i="2"/>
  <c r="AZ398" i="1"/>
  <c r="BA398" i="1"/>
  <c r="BB398" i="1"/>
  <c r="CH398" i="1"/>
  <c r="CI398" i="1"/>
  <c r="BC398" i="1" s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T398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19" i="1"/>
  <c r="BA19" i="1"/>
  <c r="BB19" i="1"/>
  <c r="CH19" i="1"/>
  <c r="CI19" i="1"/>
  <c r="CJ19" i="1"/>
  <c r="CK19" i="1"/>
  <c r="CL19" i="1"/>
  <c r="CM19" i="1"/>
  <c r="CN19" i="1"/>
  <c r="CO19" i="1"/>
  <c r="BC19" i="1" s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T19" i="1"/>
  <c r="AZ18" i="1"/>
  <c r="BA18" i="1"/>
  <c r="BB18" i="1"/>
  <c r="CH18" i="1"/>
  <c r="CI18" i="1"/>
  <c r="BC18" i="1" s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T18" i="1"/>
  <c r="AZ17" i="1"/>
  <c r="BA17" i="1"/>
  <c r="BB17" i="1"/>
  <c r="CH17" i="1"/>
  <c r="CI17" i="1"/>
  <c r="BC17" i="1" s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T17" i="1"/>
  <c r="AZ16" i="1"/>
  <c r="BA16" i="1"/>
  <c r="BB16" i="1"/>
  <c r="CH16" i="1"/>
  <c r="CI16" i="1"/>
  <c r="CJ16" i="1"/>
  <c r="CK16" i="1"/>
  <c r="CL16" i="1"/>
  <c r="BC16" i="1" s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T16" i="1"/>
  <c r="AZ160" i="1"/>
  <c r="BA160" i="1"/>
  <c r="BB160" i="1"/>
  <c r="CH160" i="1"/>
  <c r="CI160" i="1"/>
  <c r="BC160" i="1" s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T16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106" i="4"/>
  <c r="A6" i="14"/>
  <c r="H6" i="14" s="1"/>
  <c r="G6" i="14"/>
  <c r="F6" i="14"/>
  <c r="C6" i="14"/>
  <c r="B6" i="14"/>
  <c r="A8" i="13"/>
  <c r="H8" i="13"/>
  <c r="G8" i="13"/>
  <c r="F8" i="13"/>
  <c r="C8" i="13"/>
  <c r="B8" i="13"/>
  <c r="A7" i="13"/>
  <c r="H7" i="13"/>
  <c r="G7" i="13"/>
  <c r="F7" i="13"/>
  <c r="C7" i="13"/>
  <c r="B7" i="13"/>
  <c r="A6" i="13"/>
  <c r="F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87" i="4"/>
  <c r="H299" i="5"/>
  <c r="I299" i="5"/>
  <c r="Z299" i="5"/>
  <c r="AI87" i="4"/>
  <c r="AD299" i="5"/>
  <c r="AF299" i="5"/>
  <c r="AG299" i="5"/>
  <c r="AM299" i="5"/>
  <c r="AO299" i="5"/>
  <c r="BB299" i="5"/>
  <c r="BC299" i="5"/>
  <c r="BD299" i="5"/>
  <c r="BE299" i="5"/>
  <c r="AA86" i="4"/>
  <c r="AB86" i="4"/>
  <c r="AC86" i="4"/>
  <c r="AD86" i="4"/>
  <c r="AE86" i="4"/>
  <c r="AF86" i="4"/>
  <c r="AG86" i="4"/>
  <c r="AH86" i="4"/>
  <c r="AJ86" i="4"/>
  <c r="AK86" i="4"/>
  <c r="AL86" i="4"/>
  <c r="AA59" i="2"/>
  <c r="AB59" i="2"/>
  <c r="B246" i="4"/>
  <c r="I230" i="5"/>
  <c r="AE59" i="2"/>
  <c r="AH59" i="2"/>
  <c r="AJ59" i="2"/>
  <c r="AM59" i="2"/>
  <c r="D413" i="9"/>
  <c r="E413" i="9"/>
  <c r="F413" i="9"/>
  <c r="AZ390" i="1"/>
  <c r="BA390" i="1"/>
  <c r="BB390" i="1"/>
  <c r="CH390" i="1"/>
  <c r="CI390" i="1"/>
  <c r="CJ390" i="1"/>
  <c r="CK390" i="1"/>
  <c r="CL390" i="1"/>
  <c r="CM390" i="1"/>
  <c r="CN390" i="1"/>
  <c r="BC390" i="1" s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T389" i="1"/>
  <c r="AZ388" i="1"/>
  <c r="BA388" i="1"/>
  <c r="BB388" i="1"/>
  <c r="CH388" i="1"/>
  <c r="CI388" i="1"/>
  <c r="CJ388" i="1"/>
  <c r="BC388" i="1" s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T388" i="1"/>
  <c r="C124" i="7"/>
  <c r="D124" i="7"/>
  <c r="E124" i="7"/>
  <c r="AZ375" i="1"/>
  <c r="BA375" i="1"/>
  <c r="BB375" i="1"/>
  <c r="CH375" i="1"/>
  <c r="CI375" i="1"/>
  <c r="CJ375" i="1"/>
  <c r="CK375" i="1"/>
  <c r="CL375" i="1"/>
  <c r="CM375" i="1"/>
  <c r="CN375" i="1"/>
  <c r="BC375" i="1" s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T375" i="1"/>
  <c r="AB16" i="4"/>
  <c r="AB27" i="4"/>
  <c r="AB32" i="4"/>
  <c r="AB33" i="4"/>
  <c r="AB13" i="4"/>
  <c r="AB34" i="4"/>
  <c r="AB17" i="4"/>
  <c r="AB19" i="4"/>
  <c r="AB20" i="4"/>
  <c r="AB63" i="4"/>
  <c r="AB30" i="4"/>
  <c r="AB2" i="4"/>
  <c r="AB65" i="4"/>
  <c r="AB272" i="4"/>
  <c r="AB273" i="4"/>
  <c r="AB289" i="4"/>
  <c r="AB205" i="4"/>
  <c r="AB169" i="4"/>
  <c r="AB102" i="4"/>
  <c r="AB176" i="4"/>
  <c r="AB90" i="4"/>
  <c r="AB136" i="4"/>
  <c r="AB178" i="4"/>
  <c r="AB137" i="4"/>
  <c r="AB138" i="4"/>
  <c r="AB179" i="4"/>
  <c r="AB91" i="4"/>
  <c r="AB181" i="4"/>
  <c r="AB182" i="4"/>
  <c r="AB120" i="4"/>
  <c r="AB111" i="4"/>
  <c r="AB236" i="4"/>
  <c r="AB61" i="4"/>
  <c r="AB3" i="4"/>
  <c r="AB31" i="4"/>
  <c r="AB87" i="4"/>
  <c r="AB25" i="4"/>
  <c r="AB175" i="4"/>
  <c r="AB177" i="4"/>
  <c r="AB209" i="4"/>
  <c r="AB40" i="4"/>
  <c r="AB21" i="4"/>
  <c r="AB261" i="4"/>
  <c r="AB295" i="4"/>
  <c r="AB238" i="4"/>
  <c r="AB240" i="4"/>
  <c r="AB223" i="4"/>
  <c r="AB184" i="4"/>
  <c r="AB278" i="4"/>
  <c r="AB57" i="4"/>
  <c r="AB42" i="4"/>
  <c r="AB43" i="4"/>
  <c r="AB44" i="4"/>
  <c r="AB189" i="4"/>
  <c r="AB253" i="4"/>
  <c r="AB224" i="4"/>
  <c r="AB127" i="4"/>
  <c r="AB70" i="4"/>
  <c r="AB14" i="4"/>
  <c r="AB146" i="4"/>
  <c r="AB192" i="4"/>
  <c r="AB149" i="4"/>
  <c r="AB150" i="4"/>
  <c r="AB227" i="4"/>
  <c r="AB151" i="4"/>
  <c r="AB152" i="4"/>
  <c r="AB153" i="4"/>
  <c r="AB194" i="4"/>
  <c r="AB216" i="4"/>
  <c r="AB232" i="4"/>
  <c r="AB134" i="4"/>
  <c r="AB45" i="4"/>
  <c r="AB46" i="4"/>
  <c r="AB47" i="4"/>
  <c r="AB48" i="4"/>
  <c r="AB49" i="4"/>
  <c r="AB197" i="4"/>
  <c r="AB198" i="4"/>
  <c r="AB118" i="4"/>
  <c r="AB162" i="4"/>
  <c r="AB100" i="4"/>
  <c r="AB163" i="4"/>
  <c r="AB101" i="4"/>
  <c r="AB50" i="4"/>
  <c r="AB51" i="4"/>
  <c r="AB52" i="4"/>
  <c r="AB58" i="4"/>
  <c r="AB36" i="4"/>
  <c r="AB260" i="4"/>
  <c r="AB89" i="4"/>
  <c r="AB219" i="4"/>
  <c r="AB103" i="4"/>
  <c r="AB104" i="4"/>
  <c r="AB105" i="4"/>
  <c r="AB106" i="4"/>
  <c r="AB107" i="4"/>
  <c r="AB108" i="4"/>
  <c r="AB37" i="4"/>
  <c r="AB38" i="4"/>
  <c r="AB39" i="4"/>
  <c r="AB109" i="4"/>
  <c r="AB60" i="4"/>
  <c r="AB55" i="4"/>
  <c r="AB170" i="4"/>
  <c r="AB171" i="4"/>
  <c r="AB172" i="4"/>
  <c r="AB206" i="4"/>
  <c r="AB207" i="4"/>
  <c r="AB220" i="4"/>
  <c r="AB267" i="4"/>
  <c r="AB135" i="4"/>
  <c r="AB208" i="4"/>
  <c r="AB248" i="4"/>
  <c r="AB302" i="4"/>
  <c r="AB173" i="4"/>
  <c r="AB174" i="4"/>
  <c r="AB221" i="4"/>
  <c r="AB180" i="4"/>
  <c r="AB110" i="4"/>
  <c r="AB293" i="4"/>
  <c r="AB10" i="4"/>
  <c r="AB268" i="4"/>
  <c r="AB291" i="4"/>
  <c r="AB283" i="4"/>
  <c r="AB250" i="4"/>
  <c r="AB237" i="4"/>
  <c r="AB284" i="4"/>
  <c r="AB285" i="4"/>
  <c r="AB286" i="4"/>
  <c r="AB139" i="4"/>
  <c r="AB92" i="4"/>
  <c r="AB93" i="4"/>
  <c r="AB121" i="4"/>
  <c r="AB239" i="4"/>
  <c r="AB269" i="4"/>
  <c r="AB76" i="4"/>
  <c r="AB56" i="4"/>
  <c r="AB29" i="4"/>
  <c r="AB140" i="4"/>
  <c r="AB77" i="4"/>
  <c r="AB78" i="4"/>
  <c r="AB141" i="4"/>
  <c r="AB142" i="4"/>
  <c r="AB143" i="4"/>
  <c r="AB241" i="4"/>
  <c r="AB97" i="4"/>
  <c r="AB79" i="4"/>
  <c r="AB64" i="4"/>
  <c r="AB80" i="4"/>
  <c r="AB262" i="4"/>
  <c r="AB113" i="4"/>
  <c r="AB185" i="4"/>
  <c r="AB114" i="4"/>
  <c r="AB290" i="4"/>
  <c r="AB122" i="4"/>
  <c r="AB292" i="4"/>
  <c r="AB123" i="4"/>
  <c r="AB242" i="4"/>
  <c r="AB124" i="4"/>
  <c r="AB81" i="4"/>
  <c r="AB125" i="4"/>
  <c r="AB187" i="4"/>
  <c r="AB251" i="4"/>
  <c r="AB300" i="4"/>
  <c r="AB144" i="4"/>
  <c r="AB252" i="4"/>
  <c r="AB82" i="4"/>
  <c r="AB83" i="4"/>
  <c r="AB84" i="4"/>
  <c r="AB115" i="4"/>
  <c r="AB126" i="4"/>
  <c r="AB116" i="4"/>
  <c r="AB98" i="4"/>
  <c r="AB4" i="4"/>
  <c r="AB145" i="4"/>
  <c r="AB128" i="4"/>
  <c r="AB15" i="4"/>
  <c r="AB24" i="4"/>
  <c r="AB18" i="4"/>
  <c r="AB301" i="4"/>
  <c r="AB71" i="4"/>
  <c r="AB72" i="4"/>
  <c r="AB73" i="4"/>
  <c r="AB190" i="4"/>
  <c r="AB191" i="4"/>
  <c r="AB129" i="4"/>
  <c r="AB243" i="4"/>
  <c r="AB279" i="4"/>
  <c r="AB287" i="4"/>
  <c r="AB130" i="4"/>
  <c r="AB274" i="4"/>
  <c r="AB263" i="4"/>
  <c r="AB280" i="4"/>
  <c r="AB270" i="4"/>
  <c r="AB281" i="4"/>
  <c r="AB131" i="4"/>
  <c r="AB147" i="4"/>
  <c r="AB148" i="4"/>
  <c r="AB210" i="4"/>
  <c r="AB211" i="4"/>
  <c r="AB212" i="4"/>
  <c r="AB213" i="4"/>
  <c r="AB214" i="4"/>
  <c r="AB215" i="4"/>
  <c r="AB265" i="4"/>
  <c r="AB266" i="4"/>
  <c r="AB74" i="4"/>
  <c r="AB155" i="4"/>
  <c r="AB132" i="4"/>
  <c r="AB193" i="4"/>
  <c r="AB156" i="4"/>
  <c r="AB157" i="4"/>
  <c r="AB158" i="4"/>
  <c r="AB256" i="4"/>
  <c r="AB288" i="4"/>
  <c r="AB159" i="4"/>
  <c r="AB160" i="4"/>
  <c r="AB161" i="4"/>
  <c r="AB228" i="4"/>
  <c r="AB229" i="4"/>
  <c r="AB244" i="4"/>
  <c r="AB230" i="4"/>
  <c r="AB282" i="4"/>
  <c r="AB133" i="4"/>
  <c r="AB245" i="4"/>
  <c r="AB246" i="4"/>
  <c r="AB247" i="4"/>
  <c r="AB259" i="4"/>
  <c r="AB117" i="4"/>
  <c r="AB218" i="4"/>
  <c r="AB199" i="4"/>
  <c r="AB200" i="4"/>
  <c r="AB165" i="4"/>
  <c r="AB166" i="4"/>
  <c r="AB167" i="4"/>
  <c r="AB168" i="4"/>
  <c r="AB201" i="4"/>
  <c r="AB202" i="4"/>
  <c r="AB203" i="4"/>
  <c r="AB204" i="4"/>
  <c r="AB53" i="4"/>
  <c r="AB88" i="4"/>
  <c r="AB59" i="4"/>
  <c r="AB54" i="4"/>
  <c r="AB26" i="4"/>
  <c r="AB12" i="4"/>
  <c r="AB28" i="4"/>
  <c r="AB22" i="4"/>
  <c r="AB23" i="4"/>
  <c r="AB298" i="4"/>
  <c r="AB41" i="4"/>
  <c r="AB299" i="4"/>
  <c r="AB35" i="4"/>
  <c r="AB254" i="4"/>
  <c r="AB255" i="4"/>
  <c r="AB154" i="4"/>
  <c r="AB196" i="4"/>
  <c r="AB297" i="4"/>
  <c r="AB95" i="4"/>
  <c r="AB294" i="4"/>
  <c r="AB186" i="4"/>
  <c r="AB225" i="4"/>
  <c r="AB226" i="4"/>
  <c r="AB264" i="4"/>
  <c r="AB257" i="4"/>
  <c r="AB258" i="4"/>
  <c r="AB112" i="4"/>
  <c r="AB66" i="4"/>
  <c r="AB94" i="4"/>
  <c r="AB11" i="4"/>
  <c r="AB188" i="4"/>
  <c r="AB85" i="4"/>
  <c r="AB271" i="4"/>
  <c r="AB217" i="4"/>
  <c r="AB119" i="4"/>
  <c r="AB249" i="4"/>
  <c r="AB96" i="4"/>
  <c r="AB7" i="4"/>
  <c r="AB195" i="4"/>
  <c r="AB5" i="4"/>
  <c r="AB6" i="4"/>
  <c r="AB8" i="4"/>
  <c r="AB9" i="4"/>
  <c r="AB231" i="4"/>
  <c r="AB62" i="4"/>
  <c r="AB67" i="4"/>
  <c r="AB68" i="4"/>
  <c r="AB99" i="4"/>
  <c r="AB69" i="4"/>
  <c r="AB233" i="4"/>
  <c r="AB234" i="4"/>
  <c r="AB75" i="4"/>
  <c r="AB222" i="4"/>
  <c r="AB296" i="4"/>
  <c r="AB183" i="4"/>
  <c r="AB318" i="4"/>
  <c r="AB317" i="4"/>
  <c r="AB303" i="4"/>
  <c r="AB304" i="4"/>
  <c r="AB309" i="4"/>
  <c r="AB314" i="4"/>
  <c r="AB315" i="4"/>
  <c r="AB307" i="4"/>
  <c r="AB316" i="4"/>
  <c r="AB310" i="4"/>
  <c r="AB308" i="4"/>
  <c r="AB311" i="4"/>
  <c r="AB312" i="4"/>
  <c r="AB313" i="4"/>
  <c r="AB306" i="4"/>
  <c r="AB305" i="4"/>
  <c r="AB334" i="4"/>
  <c r="AB335" i="4"/>
  <c r="AB321" i="4"/>
  <c r="AB322" i="4"/>
  <c r="AB323" i="4"/>
  <c r="AB324" i="4"/>
  <c r="AB325" i="4"/>
  <c r="AB319" i="4"/>
  <c r="AB326" i="4"/>
  <c r="AB327" i="4"/>
  <c r="AB328" i="4"/>
  <c r="AB329" i="4"/>
  <c r="AB336" i="4"/>
  <c r="AB331" i="4"/>
  <c r="AB332" i="4"/>
  <c r="AB333" i="4"/>
  <c r="AB339" i="4"/>
  <c r="AB320" i="4"/>
  <c r="AB337" i="4"/>
  <c r="AB349" i="4"/>
  <c r="AB347" i="4"/>
  <c r="AB345" i="4"/>
  <c r="AB344" i="4"/>
  <c r="AB346" i="4"/>
  <c r="AB330" i="4"/>
  <c r="AB348" i="4"/>
  <c r="AB350" i="4"/>
  <c r="AB338" i="4"/>
  <c r="AB343" i="4"/>
  <c r="AB340" i="4"/>
  <c r="AB341" i="4"/>
  <c r="AB342" i="4"/>
  <c r="AB351" i="4"/>
  <c r="AB358" i="4"/>
  <c r="AB372" i="4"/>
  <c r="AB373" i="4"/>
  <c r="AB352" i="4"/>
  <c r="AB364" i="4"/>
  <c r="AB353" i="4"/>
  <c r="AB357" i="4"/>
  <c r="AB355" i="4"/>
  <c r="AB359" i="4"/>
  <c r="AB360" i="4"/>
  <c r="AB365" i="4"/>
  <c r="AB356" i="4"/>
  <c r="AB366" i="4"/>
  <c r="AB367" i="4"/>
  <c r="AB368" i="4"/>
  <c r="AB354" i="4"/>
  <c r="AB361" i="4"/>
  <c r="AB363" i="4"/>
  <c r="AB362" i="4"/>
  <c r="AB371" i="4"/>
  <c r="AB369" i="4"/>
  <c r="AB370" i="4"/>
  <c r="AB379" i="4"/>
  <c r="AB375" i="4"/>
  <c r="AB383" i="4"/>
  <c r="AB374" i="4"/>
  <c r="AB376" i="4"/>
  <c r="AB378" i="4"/>
  <c r="AB381" i="4"/>
  <c r="AB385" i="4"/>
  <c r="AB384" i="4"/>
  <c r="AB377" i="4"/>
  <c r="AB380" i="4"/>
  <c r="AB382" i="4"/>
  <c r="AB387" i="4"/>
  <c r="AB388" i="4"/>
  <c r="AB389" i="4"/>
  <c r="AB390" i="4"/>
  <c r="AB391" i="4"/>
  <c r="AB407" i="4"/>
  <c r="AB405" i="4"/>
  <c r="AB392" i="4"/>
  <c r="AB394" i="4"/>
  <c r="AB395" i="4"/>
  <c r="AB396" i="4"/>
  <c r="AB397" i="4"/>
  <c r="AB398" i="4"/>
  <c r="AB399" i="4"/>
  <c r="AB400" i="4"/>
  <c r="AB401" i="4"/>
  <c r="AB402" i="4"/>
  <c r="AB393" i="4"/>
  <c r="AB403" i="4"/>
  <c r="AB404" i="4"/>
  <c r="AB408" i="4"/>
  <c r="AB412" i="4"/>
  <c r="AB409" i="4"/>
  <c r="AB410" i="4"/>
  <c r="AB415" i="4"/>
  <c r="AB411" i="4"/>
  <c r="AB413" i="4"/>
  <c r="AB414" i="4"/>
  <c r="AB406" i="4"/>
  <c r="AB416" i="4"/>
  <c r="AB235" i="4"/>
  <c r="AA58" i="2"/>
  <c r="AB58" i="2"/>
  <c r="AE58" i="2"/>
  <c r="L230" i="5"/>
  <c r="AH58" i="2"/>
  <c r="AJ58" i="2"/>
  <c r="N230" i="5"/>
  <c r="O230" i="5"/>
  <c r="AK58" i="2" s="1"/>
  <c r="AM58" i="2"/>
  <c r="AZ374" i="1"/>
  <c r="BA374" i="1"/>
  <c r="BB374" i="1"/>
  <c r="CH374" i="1"/>
  <c r="CI374" i="1"/>
  <c r="CJ374" i="1"/>
  <c r="CK374" i="1"/>
  <c r="CL374" i="1"/>
  <c r="CM374" i="1"/>
  <c r="BC374" i="1" s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T374" i="1"/>
  <c r="AZ373" i="1"/>
  <c r="BA373" i="1"/>
  <c r="BB373" i="1"/>
  <c r="CH373" i="1"/>
  <c r="CI373" i="1"/>
  <c r="CJ373" i="1"/>
  <c r="CK373" i="1"/>
  <c r="CL373" i="1"/>
  <c r="CM373" i="1"/>
  <c r="BC373" i="1" s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T37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T26" i="1"/>
  <c r="AZ327" i="1"/>
  <c r="BA327" i="1"/>
  <c r="BB327" i="1"/>
  <c r="CH327" i="1"/>
  <c r="CI327" i="1"/>
  <c r="BC327" i="1" s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T327" i="1"/>
  <c r="AZ291" i="1"/>
  <c r="BA291" i="1"/>
  <c r="BB291" i="1"/>
  <c r="CH291" i="1"/>
  <c r="CI291" i="1"/>
  <c r="CJ291" i="1"/>
  <c r="CK291" i="1"/>
  <c r="CL291" i="1"/>
  <c r="CM291" i="1"/>
  <c r="BC291" i="1" s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T291" i="1"/>
  <c r="AZ290" i="1"/>
  <c r="BA290" i="1"/>
  <c r="BB290" i="1"/>
  <c r="CH290" i="1"/>
  <c r="CI290" i="1"/>
  <c r="CJ290" i="1"/>
  <c r="CK290" i="1"/>
  <c r="CL290" i="1"/>
  <c r="CM290" i="1"/>
  <c r="BC290" i="1" s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T290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T16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64" i="1"/>
  <c r="BA464" i="1"/>
  <c r="BB464" i="1"/>
  <c r="CH464" i="1"/>
  <c r="CI464" i="1"/>
  <c r="CJ464" i="1"/>
  <c r="CK464" i="1"/>
  <c r="CL464" i="1"/>
  <c r="CM464" i="1"/>
  <c r="CN464" i="1"/>
  <c r="BC464" i="1" s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T464" i="1"/>
  <c r="H386" i="5"/>
  <c r="B384" i="4"/>
  <c r="B386" i="5"/>
  <c r="F386" i="5"/>
  <c r="I386" i="5"/>
  <c r="AD53" i="2" s="1"/>
  <c r="Z386" i="5"/>
  <c r="AM386" i="5"/>
  <c r="AO386" i="5"/>
  <c r="BB386" i="5"/>
  <c r="BC386" i="5"/>
  <c r="BD386" i="5"/>
  <c r="BE386" i="5"/>
  <c r="D412" i="9"/>
  <c r="E412" i="9"/>
  <c r="F412" i="9"/>
  <c r="AA384" i="4"/>
  <c r="AC384" i="4"/>
  <c r="AD384" i="4"/>
  <c r="AE384" i="4"/>
  <c r="AF384" i="4"/>
  <c r="AG384" i="4"/>
  <c r="AH384" i="4"/>
  <c r="AI384" i="4"/>
  <c r="AJ384" i="4"/>
  <c r="AK384" i="4"/>
  <c r="AL384" i="4"/>
  <c r="AA53" i="2"/>
  <c r="AB53" i="2"/>
  <c r="AE53" i="2"/>
  <c r="AH53" i="2"/>
  <c r="AJ53" i="2"/>
  <c r="AM53" i="2"/>
  <c r="AZ463" i="1"/>
  <c r="BA463" i="1"/>
  <c r="BB463" i="1"/>
  <c r="CH463" i="1"/>
  <c r="CI463" i="1"/>
  <c r="CJ463" i="1"/>
  <c r="CK463" i="1"/>
  <c r="CL463" i="1"/>
  <c r="CM463" i="1"/>
  <c r="BC463" i="1" s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T463" i="1"/>
  <c r="AZ462" i="1"/>
  <c r="BA462" i="1"/>
  <c r="BB462" i="1"/>
  <c r="CH462" i="1"/>
  <c r="CI462" i="1"/>
  <c r="CJ462" i="1"/>
  <c r="CK462" i="1"/>
  <c r="CL462" i="1"/>
  <c r="BC462" i="1" s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T462" i="1"/>
  <c r="D44" i="7"/>
  <c r="E44" i="7"/>
  <c r="AZ68" i="1"/>
  <c r="BA68" i="1"/>
  <c r="BB68" i="1"/>
  <c r="CH68" i="1"/>
  <c r="CI68" i="1"/>
  <c r="CJ68" i="1"/>
  <c r="CK68" i="1"/>
  <c r="CL68" i="1"/>
  <c r="CM68" i="1"/>
  <c r="BC68" i="1" s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T68" i="1"/>
  <c r="AZ229" i="1"/>
  <c r="BA229" i="1"/>
  <c r="BB229" i="1"/>
  <c r="CH229" i="1"/>
  <c r="CI229" i="1"/>
  <c r="CJ229" i="1"/>
  <c r="CK229" i="1"/>
  <c r="CL229" i="1"/>
  <c r="BC229" i="1" s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T229" i="1"/>
  <c r="AA57" i="2"/>
  <c r="AB57" i="2"/>
  <c r="B173" i="4"/>
  <c r="F288" i="5"/>
  <c r="I78" i="5"/>
  <c r="H288" i="5"/>
  <c r="I288" i="5"/>
  <c r="AD57" i="2"/>
  <c r="AE57" i="2"/>
  <c r="L288" i="5"/>
  <c r="AH57" i="2"/>
  <c r="AJ57" i="2"/>
  <c r="N288" i="5"/>
  <c r="O288" i="5"/>
  <c r="AK57" i="2" s="1"/>
  <c r="AM57" i="2"/>
  <c r="AZ266" i="1"/>
  <c r="BA266" i="1"/>
  <c r="BB266" i="1"/>
  <c r="CH266" i="1"/>
  <c r="CI266" i="1"/>
  <c r="CJ266" i="1"/>
  <c r="BC266" i="1" s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T266" i="1"/>
  <c r="AZ265" i="1"/>
  <c r="BA265" i="1"/>
  <c r="BB265" i="1"/>
  <c r="CH265" i="1"/>
  <c r="CI265" i="1"/>
  <c r="BC265" i="1" s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T265" i="1"/>
  <c r="AZ264" i="1"/>
  <c r="BA264" i="1"/>
  <c r="BB264" i="1"/>
  <c r="CH264" i="1"/>
  <c r="CI264" i="1"/>
  <c r="CJ264" i="1"/>
  <c r="CK264" i="1"/>
  <c r="CL264" i="1"/>
  <c r="BC264" i="1" s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T264" i="1"/>
  <c r="AZ316" i="1"/>
  <c r="BA316" i="1"/>
  <c r="BB316" i="1"/>
  <c r="CH316" i="1"/>
  <c r="CI316" i="1"/>
  <c r="BC316" i="1" s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T315" i="1"/>
  <c r="AZ314" i="1"/>
  <c r="BA314" i="1"/>
  <c r="BB314" i="1"/>
  <c r="CH314" i="1"/>
  <c r="CI314" i="1"/>
  <c r="CJ314" i="1"/>
  <c r="BC314" i="1" s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T314" i="1"/>
  <c r="AZ313" i="1"/>
  <c r="BA313" i="1"/>
  <c r="BB313" i="1"/>
  <c r="CH313" i="1"/>
  <c r="CI313" i="1"/>
  <c r="CJ313" i="1"/>
  <c r="CK313" i="1"/>
  <c r="BC313" i="1" s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T313" i="1"/>
  <c r="AZ312" i="1"/>
  <c r="BA312" i="1"/>
  <c r="BB312" i="1"/>
  <c r="CH312" i="1"/>
  <c r="CI312" i="1"/>
  <c r="CJ312" i="1"/>
  <c r="CK312" i="1"/>
  <c r="CL312" i="1"/>
  <c r="BC312" i="1" s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T312" i="1"/>
  <c r="AZ311" i="1"/>
  <c r="BA311" i="1"/>
  <c r="BB311" i="1"/>
  <c r="CH311" i="1"/>
  <c r="CI311" i="1"/>
  <c r="BC311" i="1" s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T311" i="1"/>
  <c r="AZ310" i="1"/>
  <c r="BA310" i="1"/>
  <c r="BB310" i="1"/>
  <c r="CH310" i="1"/>
  <c r="CI310" i="1"/>
  <c r="BC310" i="1" s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T310" i="1"/>
  <c r="AZ309" i="1"/>
  <c r="BA309" i="1"/>
  <c r="BB309" i="1"/>
  <c r="CH309" i="1"/>
  <c r="CI309" i="1"/>
  <c r="BC309" i="1" s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T309" i="1"/>
  <c r="B232" i="4"/>
  <c r="AK66" i="4"/>
  <c r="AK4" i="4"/>
  <c r="AK32" i="4"/>
  <c r="AK33" i="4"/>
  <c r="AK34" i="4"/>
  <c r="AK237" i="4"/>
  <c r="AK242" i="4"/>
  <c r="AK250" i="4"/>
  <c r="AK85" i="4"/>
  <c r="AK300" i="4"/>
  <c r="AK16" i="4"/>
  <c r="AK35" i="4"/>
  <c r="AK15" i="4"/>
  <c r="AK24" i="4"/>
  <c r="AK283" i="4"/>
  <c r="AK197" i="4"/>
  <c r="AK162" i="4"/>
  <c r="AK205" i="4"/>
  <c r="AK296" i="4"/>
  <c r="AK80" i="4"/>
  <c r="AK81" i="4"/>
  <c r="AK94" i="4"/>
  <c r="AK89" i="4"/>
  <c r="AK96" i="4"/>
  <c r="AK183" i="4"/>
  <c r="AK109" i="4"/>
  <c r="AK233" i="4"/>
  <c r="AK234" i="4"/>
  <c r="AK251" i="4"/>
  <c r="AK42" i="4"/>
  <c r="AK199" i="4"/>
  <c r="AK165" i="4"/>
  <c r="AK195" i="4"/>
  <c r="AK95" i="4"/>
  <c r="AK200" i="4"/>
  <c r="AK218" i="4"/>
  <c r="AK166" i="4"/>
  <c r="AK167" i="4"/>
  <c r="AK168" i="4"/>
  <c r="AK260" i="4"/>
  <c r="AK185" i="4"/>
  <c r="AK187" i="4"/>
  <c r="AK172" i="4"/>
  <c r="AK171" i="4"/>
  <c r="AK54" i="4"/>
  <c r="AK170" i="4"/>
  <c r="AK58" i="4"/>
  <c r="AK103" i="4"/>
  <c r="AK10" i="4"/>
  <c r="AK104" i="4"/>
  <c r="AK107" i="4"/>
  <c r="AK115" i="4"/>
  <c r="AK108" i="4"/>
  <c r="AK105" i="4"/>
  <c r="AK106" i="4"/>
  <c r="AK290" i="4"/>
  <c r="AK67" i="4"/>
  <c r="AK68" i="4"/>
  <c r="AK99" i="4"/>
  <c r="AK62" i="4"/>
  <c r="AK69" i="4"/>
  <c r="AK75" i="4"/>
  <c r="AK184" i="4"/>
  <c r="AK211" i="4"/>
  <c r="AK212" i="4"/>
  <c r="AK213" i="4"/>
  <c r="AK214" i="4"/>
  <c r="AK215" i="4"/>
  <c r="AK126" i="4"/>
  <c r="AK64" i="4"/>
  <c r="AK43" i="4"/>
  <c r="AK44" i="4"/>
  <c r="AK147" i="4"/>
  <c r="AK210" i="4"/>
  <c r="AK272" i="4"/>
  <c r="AK21" i="4"/>
  <c r="AK56" i="4"/>
  <c r="AK112" i="4"/>
  <c r="AK148" i="4"/>
  <c r="AK154" i="4"/>
  <c r="AK298" i="4"/>
  <c r="AK299" i="4"/>
  <c r="AK204" i="4"/>
  <c r="AK40" i="4"/>
  <c r="AK132" i="4"/>
  <c r="AK201" i="4"/>
  <c r="AK186" i="4"/>
  <c r="AK78" i="4"/>
  <c r="AK37" i="4"/>
  <c r="AK206" i="4"/>
  <c r="AK38" i="4"/>
  <c r="AK216" i="4"/>
  <c r="AK39" i="4"/>
  <c r="AK262" i="4"/>
  <c r="AK11" i="4"/>
  <c r="AK36" i="4"/>
  <c r="AK12" i="4"/>
  <c r="AK116" i="4"/>
  <c r="AK28" i="4"/>
  <c r="AK14" i="4"/>
  <c r="AK46" i="4"/>
  <c r="AK217" i="4"/>
  <c r="AK145" i="4"/>
  <c r="AK47" i="4"/>
  <c r="AK128" i="4"/>
  <c r="AK45" i="4"/>
  <c r="AK273" i="4"/>
  <c r="AK49" i="4"/>
  <c r="AK52" i="4"/>
  <c r="AK51" i="4"/>
  <c r="AK41" i="4"/>
  <c r="AK57" i="4"/>
  <c r="AK50" i="4"/>
  <c r="AK55" i="4"/>
  <c r="AK60" i="4"/>
  <c r="AK76" i="4"/>
  <c r="AK17" i="4"/>
  <c r="AK18" i="4"/>
  <c r="AK19" i="4"/>
  <c r="AK20" i="4"/>
  <c r="AK293" i="4"/>
  <c r="AK256" i="4"/>
  <c r="AK2" i="4"/>
  <c r="AK139" i="4"/>
  <c r="AK100" i="4"/>
  <c r="AK140" i="4"/>
  <c r="AK146" i="4"/>
  <c r="AK192" i="4"/>
  <c r="AK227" i="4"/>
  <c r="AK151" i="4"/>
  <c r="AK152" i="4"/>
  <c r="AK153" i="4"/>
  <c r="AK48" i="4"/>
  <c r="AK198" i="4"/>
  <c r="AK92" i="4"/>
  <c r="AK93" i="4"/>
  <c r="AK118" i="4"/>
  <c r="AK289" i="4"/>
  <c r="AK222" i="4"/>
  <c r="AK269" i="4"/>
  <c r="AK30" i="4"/>
  <c r="AK130" i="4"/>
  <c r="AK88" i="4"/>
  <c r="AK5" i="4"/>
  <c r="AK244" i="4"/>
  <c r="AK230" i="4"/>
  <c r="AK61" i="4"/>
  <c r="AK7" i="4"/>
  <c r="AK8" i="4"/>
  <c r="AK23" i="4"/>
  <c r="AK9" i="4"/>
  <c r="AK22" i="4"/>
  <c r="AK6" i="4"/>
  <c r="AK229" i="4"/>
  <c r="AK101" i="4"/>
  <c r="AK149" i="4"/>
  <c r="AK150" i="4"/>
  <c r="AK73" i="4"/>
  <c r="AK263" i="4"/>
  <c r="AK291" i="4"/>
  <c r="AK292" i="4"/>
  <c r="AK301" i="4"/>
  <c r="AK71" i="4"/>
  <c r="AK72" i="4"/>
  <c r="AK280" i="4"/>
  <c r="AK190" i="4"/>
  <c r="AK129" i="4"/>
  <c r="AK274" i="4"/>
  <c r="AK191" i="4"/>
  <c r="AK196" i="4"/>
  <c r="AK297" i="4"/>
  <c r="AK124" i="4"/>
  <c r="AK125" i="4"/>
  <c r="AK238" i="4"/>
  <c r="AK202" i="4"/>
  <c r="AK203" i="4"/>
  <c r="AK133" i="4"/>
  <c r="AK26" i="4"/>
  <c r="AK53" i="4"/>
  <c r="AK59" i="4"/>
  <c r="AK221" i="4"/>
  <c r="AK121" i="4"/>
  <c r="AK270" i="4"/>
  <c r="AK174" i="4"/>
  <c r="AK173" i="4"/>
  <c r="AK241" i="4"/>
  <c r="AK282" i="4"/>
  <c r="AK302" i="4"/>
  <c r="AK240" i="4"/>
  <c r="AK131" i="4"/>
  <c r="AK228" i="4"/>
  <c r="AK82" i="4"/>
  <c r="AK77" i="4"/>
  <c r="AK110" i="4"/>
  <c r="AK257" i="4"/>
  <c r="AK258" i="4"/>
  <c r="AK252" i="4"/>
  <c r="AK243" i="4"/>
  <c r="AK231" i="4"/>
  <c r="AK13" i="4"/>
  <c r="AK255" i="4"/>
  <c r="AK248" i="4"/>
  <c r="AK279" i="4"/>
  <c r="AK287" i="4"/>
  <c r="AK247" i="4"/>
  <c r="AK254" i="4"/>
  <c r="AK261" i="4"/>
  <c r="AK284" i="4"/>
  <c r="AK278" i="4"/>
  <c r="AK74" i="4"/>
  <c r="AK114" i="4"/>
  <c r="AK188" i="4"/>
  <c r="AK239" i="4"/>
  <c r="AK98" i="4"/>
  <c r="AK266" i="4"/>
  <c r="AK265" i="4"/>
  <c r="AK285" i="4"/>
  <c r="AK286" i="4"/>
  <c r="AK134" i="4"/>
  <c r="AK155" i="4"/>
  <c r="AK157" i="4"/>
  <c r="AK97" i="4"/>
  <c r="AK246" i="4"/>
  <c r="AK267" i="4"/>
  <c r="AK156" i="4"/>
  <c r="AK122" i="4"/>
  <c r="AK294" i="4"/>
  <c r="AK225" i="4"/>
  <c r="AK226" i="4"/>
  <c r="AK264" i="4"/>
  <c r="AK235" i="4"/>
  <c r="AK169" i="4"/>
  <c r="AK175" i="4"/>
  <c r="AK177" i="4"/>
  <c r="AK136" i="4"/>
  <c r="AK209" i="4"/>
  <c r="AK138" i="4"/>
  <c r="AK91" i="4"/>
  <c r="AK142" i="4"/>
  <c r="AK25" i="4"/>
  <c r="AK90" i="4"/>
  <c r="AK178" i="4"/>
  <c r="AK79" i="4"/>
  <c r="AK123" i="4"/>
  <c r="AK180" i="4"/>
  <c r="AK141" i="4"/>
  <c r="AK207" i="4"/>
  <c r="AK220" i="4"/>
  <c r="AK223" i="4"/>
  <c r="AK65" i="4"/>
  <c r="AK189" i="4"/>
  <c r="AK224" i="4"/>
  <c r="AK194" i="4"/>
  <c r="AK208" i="4"/>
  <c r="AK144" i="4"/>
  <c r="AK232" i="4"/>
  <c r="AK158" i="4"/>
  <c r="AK159" i="4"/>
  <c r="AK160" i="4"/>
  <c r="AK161" i="4"/>
  <c r="AK135" i="4"/>
  <c r="AK119" i="4"/>
  <c r="AK219" i="4"/>
  <c r="AK102" i="4"/>
  <c r="AK176" i="4"/>
  <c r="AK137" i="4"/>
  <c r="AK179" i="4"/>
  <c r="AK181" i="4"/>
  <c r="AK182" i="4"/>
  <c r="AK120" i="4"/>
  <c r="AK111" i="4"/>
  <c r="AK87" i="4"/>
  <c r="AK236" i="4"/>
  <c r="AK113" i="4"/>
  <c r="AK117" i="4"/>
  <c r="AK83" i="4"/>
  <c r="AK84" i="4"/>
  <c r="AK253" i="4"/>
  <c r="AK163" i="4"/>
  <c r="AK63" i="4"/>
  <c r="AK268" i="4"/>
  <c r="AK249" i="4"/>
  <c r="AK259" i="4"/>
  <c r="AK295" i="4"/>
  <c r="AK27" i="4"/>
  <c r="AK127" i="4"/>
  <c r="AK70" i="4"/>
  <c r="AK193" i="4"/>
  <c r="AK245" i="4"/>
  <c r="AK143" i="4"/>
  <c r="AK271" i="4"/>
  <c r="AK31" i="4"/>
  <c r="AK29" i="4"/>
  <c r="AK288" i="4"/>
  <c r="AK281" i="4"/>
  <c r="AK315" i="4"/>
  <c r="AK309" i="4"/>
  <c r="AK314" i="4"/>
  <c r="AK307" i="4"/>
  <c r="AK316" i="4"/>
  <c r="AK303" i="4"/>
  <c r="AK304" i="4"/>
  <c r="AK317" i="4"/>
  <c r="AK318" i="4"/>
  <c r="AK306" i="4"/>
  <c r="AK308" i="4"/>
  <c r="AK310" i="4"/>
  <c r="AK311" i="4"/>
  <c r="AK312" i="4"/>
  <c r="AK313" i="4"/>
  <c r="AK305" i="4"/>
  <c r="AK322" i="4"/>
  <c r="AK340" i="4"/>
  <c r="AK345" i="4"/>
  <c r="AK333" i="4"/>
  <c r="AK331" i="4"/>
  <c r="AK332" i="4"/>
  <c r="AK350" i="4"/>
  <c r="AK348" i="4"/>
  <c r="AK344" i="4"/>
  <c r="AK347" i="4"/>
  <c r="AK346" i="4"/>
  <c r="AK321" i="4"/>
  <c r="AK323" i="4"/>
  <c r="AK324" i="4"/>
  <c r="AK325" i="4"/>
  <c r="AK326" i="4"/>
  <c r="AK327" i="4"/>
  <c r="AK328" i="4"/>
  <c r="AK329" i="4"/>
  <c r="AK330" i="4"/>
  <c r="AK336" i="4"/>
  <c r="AK341" i="4"/>
  <c r="AK343" i="4"/>
  <c r="AK338" i="4"/>
  <c r="AK342" i="4"/>
  <c r="AK334" i="4"/>
  <c r="AK335" i="4"/>
  <c r="AK349" i="4"/>
  <c r="AK351" i="4"/>
  <c r="AK337" i="4"/>
  <c r="AK339" i="4"/>
  <c r="AK320" i="4"/>
  <c r="AK319" i="4"/>
  <c r="AK355" i="4"/>
  <c r="AK356" i="4"/>
  <c r="AK357" i="4"/>
  <c r="AK358" i="4"/>
  <c r="AK361" i="4"/>
  <c r="AK363" i="4"/>
  <c r="AK362" i="4"/>
  <c r="AK371" i="4"/>
  <c r="AK359" i="4"/>
  <c r="AK360" i="4"/>
  <c r="AK369" i="4"/>
  <c r="AK370" i="4"/>
  <c r="AK354" i="4"/>
  <c r="AK372" i="4"/>
  <c r="AK373" i="4"/>
  <c r="AK365" i="4"/>
  <c r="AK366" i="4"/>
  <c r="AK367" i="4"/>
  <c r="AK368" i="4"/>
  <c r="AK364" i="4"/>
  <c r="AK352" i="4"/>
  <c r="AK353" i="4"/>
  <c r="AK378" i="4"/>
  <c r="AK379" i="4"/>
  <c r="AK382" i="4"/>
  <c r="AK376" i="4"/>
  <c r="AK377" i="4"/>
  <c r="AK380" i="4"/>
  <c r="AK381" i="4"/>
  <c r="AK375" i="4"/>
  <c r="AK383" i="4"/>
  <c r="AK374" i="4"/>
  <c r="AK385" i="4"/>
  <c r="AK391" i="4"/>
  <c r="AK387" i="4"/>
  <c r="AK390" i="4"/>
  <c r="AK388" i="4"/>
  <c r="AK389" i="4"/>
  <c r="AK399" i="4"/>
  <c r="AK407" i="4"/>
  <c r="AK404" i="4"/>
  <c r="AK403" i="4"/>
  <c r="AK408" i="4"/>
  <c r="AK412" i="4"/>
  <c r="AK409" i="4"/>
  <c r="AK415" i="4"/>
  <c r="AK405" i="4"/>
  <c r="AK393" i="4"/>
  <c r="AK394" i="4"/>
  <c r="AK395" i="4"/>
  <c r="AK396" i="4"/>
  <c r="AK397" i="4"/>
  <c r="AK416" i="4"/>
  <c r="AK410" i="4"/>
  <c r="AK398" i="4"/>
  <c r="AK400" i="4"/>
  <c r="AK401" i="4"/>
  <c r="AK411" i="4"/>
  <c r="AK402" i="4"/>
  <c r="AK392" i="4"/>
  <c r="AK413" i="4"/>
  <c r="AK414" i="4"/>
  <c r="AK406" i="4"/>
  <c r="AK3" i="4"/>
  <c r="B7" i="3"/>
  <c r="C7" i="3"/>
  <c r="AI111" i="4"/>
  <c r="AA56" i="2"/>
  <c r="AB56" i="2"/>
  <c r="AE56" i="2"/>
  <c r="L78" i="5"/>
  <c r="AH56" i="2"/>
  <c r="AJ56" i="2"/>
  <c r="N78" i="5"/>
  <c r="O78" i="5" s="1"/>
  <c r="AK56" i="2" s="1"/>
  <c r="AM56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T166" i="1"/>
  <c r="AZ165" i="1"/>
  <c r="BA165" i="1"/>
  <c r="BB165" i="1"/>
  <c r="CH165" i="1"/>
  <c r="CI165" i="1"/>
  <c r="BC165" i="1" s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T165" i="1"/>
  <c r="AZ458" i="1"/>
  <c r="BA458" i="1"/>
  <c r="BB458" i="1"/>
  <c r="CH458" i="1"/>
  <c r="CI458" i="1"/>
  <c r="CJ458" i="1"/>
  <c r="CK458" i="1"/>
  <c r="CL458" i="1"/>
  <c r="CM458" i="1"/>
  <c r="CN458" i="1"/>
  <c r="BC458" i="1" s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T457" i="1"/>
  <c r="AZ211" i="1"/>
  <c r="BA211" i="1"/>
  <c r="BB211" i="1"/>
  <c r="CH211" i="1"/>
  <c r="CI211" i="1"/>
  <c r="CJ211" i="1"/>
  <c r="BC211" i="1" s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T211" i="1"/>
  <c r="B372" i="4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T444" i="1"/>
  <c r="AZ443" i="1"/>
  <c r="BA443" i="1"/>
  <c r="BB443" i="1"/>
  <c r="CH443" i="1"/>
  <c r="CI443" i="1"/>
  <c r="CJ443" i="1"/>
  <c r="BC443" i="1" s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T44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T422" i="1"/>
  <c r="AZ67" i="1"/>
  <c r="BA67" i="1"/>
  <c r="BB67" i="1"/>
  <c r="CH67" i="1"/>
  <c r="CI67" i="1"/>
  <c r="CJ67" i="1"/>
  <c r="BC67" i="1" s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T67" i="1"/>
  <c r="AZ66" i="1"/>
  <c r="BA66" i="1"/>
  <c r="BB66" i="1"/>
  <c r="CH66" i="1"/>
  <c r="CI66" i="1"/>
  <c r="CJ66" i="1"/>
  <c r="CK66" i="1"/>
  <c r="BC66" i="1" s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T66" i="1"/>
  <c r="B168" i="4"/>
  <c r="B59" i="4"/>
  <c r="B264" i="4"/>
  <c r="B54" i="4"/>
  <c r="AA9" i="2"/>
  <c r="AB9" i="2"/>
  <c r="B88" i="4"/>
  <c r="F45" i="5"/>
  <c r="H45" i="5"/>
  <c r="I45" i="5"/>
  <c r="AD9" i="2" s="1"/>
  <c r="AE9" i="2"/>
  <c r="L45" i="5"/>
  <c r="AH9" i="2"/>
  <c r="AJ9" i="2"/>
  <c r="N45" i="5"/>
  <c r="O45" i="5"/>
  <c r="AK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CT5" i="1"/>
  <c r="AZ22" i="1"/>
  <c r="BA22" i="1"/>
  <c r="BB22" i="1"/>
  <c r="CH22" i="1"/>
  <c r="CI22" i="1"/>
  <c r="CJ22" i="1"/>
  <c r="CK22" i="1"/>
  <c r="CL22" i="1"/>
  <c r="BC22" i="1" s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T22" i="1"/>
  <c r="AZ21" i="1"/>
  <c r="BA21" i="1"/>
  <c r="BB21" i="1"/>
  <c r="CH21" i="1"/>
  <c r="CI21" i="1"/>
  <c r="CJ21" i="1"/>
  <c r="CK21" i="1"/>
  <c r="CL21" i="1"/>
  <c r="BC21" i="1" s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T20" i="1"/>
  <c r="B10" i="4"/>
  <c r="B170" i="4"/>
  <c r="B171" i="4"/>
  <c r="B172" i="4"/>
  <c r="B106" i="4"/>
  <c r="B107" i="4"/>
  <c r="B103" i="4"/>
  <c r="B104" i="4"/>
  <c r="B105" i="4"/>
  <c r="B260" i="4"/>
  <c r="B58" i="4"/>
  <c r="AA4" i="2"/>
  <c r="AB4" i="2"/>
  <c r="B12" i="4"/>
  <c r="F254" i="5"/>
  <c r="H254" i="5"/>
  <c r="I254" i="5" s="1"/>
  <c r="AD4" i="2"/>
  <c r="AE4" i="2"/>
  <c r="L254" i="5"/>
  <c r="AH4" i="2"/>
  <c r="AJ4" i="2"/>
  <c r="N254" i="5"/>
  <c r="O254" i="5"/>
  <c r="AK4" i="2" s="1"/>
  <c r="AM4" i="2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T210" i="1"/>
  <c r="AZ285" i="1"/>
  <c r="BA285" i="1"/>
  <c r="BB285" i="1"/>
  <c r="CH285" i="1"/>
  <c r="CI285" i="1"/>
  <c r="BC285" i="1" s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T285" i="1"/>
  <c r="AZ415" i="1"/>
  <c r="BA415" i="1"/>
  <c r="BB415" i="1"/>
  <c r="CH415" i="1"/>
  <c r="CI415" i="1"/>
  <c r="CJ415" i="1"/>
  <c r="CK415" i="1"/>
  <c r="BC415" i="1" s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T415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T65" i="1"/>
  <c r="AZ64" i="1"/>
  <c r="BA64" i="1"/>
  <c r="BB64" i="1"/>
  <c r="CH64" i="1"/>
  <c r="CI64" i="1"/>
  <c r="BC64" i="1" s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T63" i="1"/>
  <c r="AZ62" i="1"/>
  <c r="BA62" i="1"/>
  <c r="BB62" i="1"/>
  <c r="CH62" i="1"/>
  <c r="CI62" i="1"/>
  <c r="CJ62" i="1"/>
  <c r="CK62" i="1"/>
  <c r="CL62" i="1"/>
  <c r="CM62" i="1"/>
  <c r="BC62" i="1" s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BC59" i="1" s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T59" i="1"/>
  <c r="AZ58" i="1"/>
  <c r="BA58" i="1"/>
  <c r="BB58" i="1"/>
  <c r="CH58" i="1"/>
  <c r="CI58" i="1"/>
  <c r="CJ58" i="1"/>
  <c r="CK58" i="1"/>
  <c r="BC58" i="1" s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T58" i="1"/>
  <c r="B208" i="4"/>
  <c r="B175" i="4"/>
  <c r="B135" i="4"/>
  <c r="B90" i="4"/>
  <c r="B177" i="4"/>
  <c r="B136" i="4"/>
  <c r="B178" i="4"/>
  <c r="B220" i="4"/>
  <c r="B74" i="4"/>
  <c r="B267" i="4"/>
  <c r="B286" i="4"/>
  <c r="B97" i="4"/>
  <c r="B294" i="4"/>
  <c r="B226" i="4"/>
  <c r="B155" i="4"/>
  <c r="B156" i="4"/>
  <c r="B157" i="4"/>
  <c r="B169" i="4"/>
  <c r="B20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134" i="4"/>
  <c r="C20" i="5" s="1"/>
  <c r="F20" i="5"/>
  <c r="H20" i="5"/>
  <c r="I20" i="5" s="1"/>
  <c r="AQ20" i="5" s="1"/>
  <c r="L20" i="5"/>
  <c r="N20" i="5"/>
  <c r="O20" i="5" s="1"/>
  <c r="AI232" i="4"/>
  <c r="AI134" i="4"/>
  <c r="AF20" i="5"/>
  <c r="AG20" i="5"/>
  <c r="AM20" i="5"/>
  <c r="AO20" i="5"/>
  <c r="BB20" i="5"/>
  <c r="BC20" i="5"/>
  <c r="BD20" i="5"/>
  <c r="BE20" i="5"/>
  <c r="AA134" i="4"/>
  <c r="AC134" i="4"/>
  <c r="AD134" i="4"/>
  <c r="AE134" i="4"/>
  <c r="AF134" i="4"/>
  <c r="AG134" i="4"/>
  <c r="AH134" i="4"/>
  <c r="AJ134" i="4"/>
  <c r="AL134" i="4"/>
  <c r="AA55" i="2"/>
  <c r="AB55" i="2"/>
  <c r="AE55" i="2"/>
  <c r="AH55" i="2"/>
  <c r="AJ55" i="2"/>
  <c r="AM55" i="2"/>
  <c r="AZ378" i="1"/>
  <c r="BA378" i="1"/>
  <c r="BB378" i="1"/>
  <c r="CH378" i="1"/>
  <c r="CI378" i="1"/>
  <c r="BC378" i="1" s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T378" i="1"/>
  <c r="D348" i="9"/>
  <c r="E348" i="9"/>
  <c r="F348" i="9"/>
  <c r="C125" i="7"/>
  <c r="D125" i="7"/>
  <c r="E125" i="7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T308" i="1"/>
  <c r="AZ57" i="1"/>
  <c r="BA57" i="1"/>
  <c r="BB57" i="1"/>
  <c r="CH57" i="1"/>
  <c r="CI57" i="1"/>
  <c r="CJ57" i="1"/>
  <c r="CK57" i="1"/>
  <c r="BC57" i="1" s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T57" i="1"/>
  <c r="AZ347" i="1"/>
  <c r="BA347" i="1"/>
  <c r="BB347" i="1"/>
  <c r="CH347" i="1"/>
  <c r="CI347" i="1"/>
  <c r="CJ347" i="1"/>
  <c r="CK347" i="1"/>
  <c r="BC347" i="1" s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T346" i="1"/>
  <c r="B45" i="4"/>
  <c r="B41" i="4"/>
  <c r="B214" i="4"/>
  <c r="B215" i="4"/>
  <c r="B212" i="4"/>
  <c r="B213" i="4"/>
  <c r="B43" i="4"/>
  <c r="B44" i="4"/>
  <c r="B42" i="4"/>
  <c r="B353" i="4"/>
  <c r="AZ217" i="1"/>
  <c r="BA217" i="1"/>
  <c r="BB217" i="1"/>
  <c r="CH217" i="1"/>
  <c r="CI217" i="1"/>
  <c r="BC217" i="1" s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T217" i="1"/>
  <c r="B28" i="4"/>
  <c r="AI28" i="4"/>
  <c r="AA28" i="4"/>
  <c r="AC28" i="4"/>
  <c r="AD28" i="4"/>
  <c r="AE28" i="4"/>
  <c r="AF28" i="4"/>
  <c r="AG28" i="4"/>
  <c r="AH28" i="4"/>
  <c r="AJ28" i="4"/>
  <c r="AL28" i="4"/>
  <c r="AA6" i="2"/>
  <c r="AB6" i="2"/>
  <c r="F97" i="5"/>
  <c r="H97" i="5"/>
  <c r="I97" i="5" s="1"/>
  <c r="AD6" i="2" s="1"/>
  <c r="AE6" i="2"/>
  <c r="L97" i="5"/>
  <c r="AH6" i="2"/>
  <c r="AJ6" i="2"/>
  <c r="N97" i="5"/>
  <c r="O97" i="5"/>
  <c r="AK6" i="2" s="1"/>
  <c r="AM6" i="2"/>
  <c r="AZ215" i="1"/>
  <c r="BA215" i="1"/>
  <c r="BB215" i="1"/>
  <c r="CH215" i="1"/>
  <c r="CI215" i="1"/>
  <c r="CJ215" i="1"/>
  <c r="CK215" i="1"/>
  <c r="BC215" i="1" s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T216" i="1"/>
  <c r="AZ54" i="1"/>
  <c r="BA54" i="1"/>
  <c r="BB54" i="1"/>
  <c r="CH54" i="1"/>
  <c r="CI54" i="1"/>
  <c r="CJ54" i="1"/>
  <c r="BC54" i="1" s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N19" i="5"/>
  <c r="L19" i="5"/>
  <c r="B19" i="5"/>
  <c r="F19" i="5"/>
  <c r="H19" i="5"/>
  <c r="I19" i="5" s="1"/>
  <c r="O19" i="5"/>
  <c r="AK54" i="2" s="1"/>
  <c r="AI44" i="4"/>
  <c r="AF19" i="5"/>
  <c r="AG19" i="5"/>
  <c r="AM19" i="5"/>
  <c r="AO19" i="5"/>
  <c r="AS19" i="5"/>
  <c r="BB19" i="5"/>
  <c r="BC19" i="5"/>
  <c r="BD19" i="5"/>
  <c r="BE19" i="5"/>
  <c r="AA232" i="4"/>
  <c r="AC232" i="4"/>
  <c r="AD232" i="4"/>
  <c r="AE232" i="4"/>
  <c r="AF232" i="4"/>
  <c r="AG232" i="4"/>
  <c r="AH232" i="4"/>
  <c r="AJ232" i="4"/>
  <c r="AL232" i="4"/>
  <c r="AA54" i="2"/>
  <c r="AB54" i="2"/>
  <c r="AE54" i="2"/>
  <c r="AH54" i="2"/>
  <c r="AJ54" i="2"/>
  <c r="AM54" i="2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T377" i="1"/>
  <c r="AZ376" i="1"/>
  <c r="BA376" i="1"/>
  <c r="BB376" i="1"/>
  <c r="CH376" i="1"/>
  <c r="CI376" i="1"/>
  <c r="CJ376" i="1"/>
  <c r="CK376" i="1"/>
  <c r="CL376" i="1"/>
  <c r="BC376" i="1" s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T376" i="1"/>
  <c r="D347" i="9"/>
  <c r="E347" i="9"/>
  <c r="F347" i="9"/>
  <c r="C123" i="7"/>
  <c r="E123" i="7"/>
  <c r="D123" i="7"/>
  <c r="AG3" i="5"/>
  <c r="AF3" i="5"/>
  <c r="B64" i="4"/>
  <c r="T3" i="5"/>
  <c r="AI64" i="4"/>
  <c r="F3" i="5"/>
  <c r="L3" i="5"/>
  <c r="N3" i="5"/>
  <c r="O3" i="5" s="1"/>
  <c r="H3" i="5"/>
  <c r="I3" i="5"/>
  <c r="Z3" i="5"/>
  <c r="O4" i="5"/>
  <c r="AG4" i="5"/>
  <c r="AF4" i="5"/>
  <c r="T4" i="5"/>
  <c r="W4" i="5"/>
  <c r="AA4" i="5"/>
  <c r="AI262" i="4"/>
  <c r="F4" i="5"/>
  <c r="H4" i="5"/>
  <c r="I4" i="5" s="1"/>
  <c r="Z4" i="5"/>
  <c r="AF5" i="5"/>
  <c r="I5" i="5"/>
  <c r="T5" i="5"/>
  <c r="U5" i="5"/>
  <c r="AI130" i="4"/>
  <c r="L5" i="5"/>
  <c r="N5" i="5"/>
  <c r="O5" i="5" s="1"/>
  <c r="Z5" i="5"/>
  <c r="AG6" i="5"/>
  <c r="AF6" i="5"/>
  <c r="AD6" i="5"/>
  <c r="F6" i="5"/>
  <c r="H6" i="5"/>
  <c r="I6" i="5"/>
  <c r="L6" i="5"/>
  <c r="N6" i="5"/>
  <c r="O6" i="5"/>
  <c r="Z6" i="5"/>
  <c r="AG7" i="5"/>
  <c r="AF7" i="5"/>
  <c r="AD7" i="5"/>
  <c r="F7" i="5"/>
  <c r="H7" i="5"/>
  <c r="I7" i="5"/>
  <c r="L7" i="5"/>
  <c r="N7" i="5"/>
  <c r="O7" i="5"/>
  <c r="Z7" i="5"/>
  <c r="AF8" i="5"/>
  <c r="T8" i="5"/>
  <c r="AI196" i="4"/>
  <c r="F8" i="5"/>
  <c r="H8" i="5"/>
  <c r="I8" i="5" s="1"/>
  <c r="L8" i="5"/>
  <c r="N8" i="5"/>
  <c r="O8" i="5"/>
  <c r="Z8" i="5"/>
  <c r="AG9" i="5"/>
  <c r="AF9" i="5"/>
  <c r="I9" i="5"/>
  <c r="AI220" i="4"/>
  <c r="L9" i="5"/>
  <c r="N9" i="5"/>
  <c r="O9" i="5"/>
  <c r="Z9" i="5"/>
  <c r="AG10" i="5"/>
  <c r="AF10" i="5"/>
  <c r="B181" i="4"/>
  <c r="K10" i="5"/>
  <c r="T10" i="5"/>
  <c r="AI181" i="4"/>
  <c r="F10" i="5"/>
  <c r="H10" i="5"/>
  <c r="I10" i="5"/>
  <c r="L10" i="5"/>
  <c r="N10" i="5"/>
  <c r="O10" i="5" s="1"/>
  <c r="Z10" i="5"/>
  <c r="AG11" i="5"/>
  <c r="AF11" i="5"/>
  <c r="B182" i="4"/>
  <c r="K11" i="5"/>
  <c r="T11" i="5"/>
  <c r="U11" i="5"/>
  <c r="AI182" i="4"/>
  <c r="F11" i="5"/>
  <c r="H11" i="5"/>
  <c r="I11" i="5"/>
  <c r="L11" i="5"/>
  <c r="N11" i="5"/>
  <c r="O11" i="5"/>
  <c r="Z11" i="5"/>
  <c r="O12" i="5"/>
  <c r="K12" i="5"/>
  <c r="AF12" i="5"/>
  <c r="I12" i="5"/>
  <c r="T12" i="5"/>
  <c r="AI22" i="4"/>
  <c r="O13" i="5"/>
  <c r="K13" i="5"/>
  <c r="AF13" i="5"/>
  <c r="I13" i="5"/>
  <c r="T13" i="5"/>
  <c r="AI23" i="4"/>
  <c r="AG14" i="5"/>
  <c r="AF14" i="5"/>
  <c r="B140" i="4"/>
  <c r="I14" i="5"/>
  <c r="T14" i="5"/>
  <c r="AI140" i="4"/>
  <c r="L14" i="5"/>
  <c r="N14" i="5"/>
  <c r="O14" i="5" s="1"/>
  <c r="Z14" i="5"/>
  <c r="AG15" i="5"/>
  <c r="AF15" i="5"/>
  <c r="B223" i="4"/>
  <c r="I15" i="5"/>
  <c r="K15" i="5"/>
  <c r="T15" i="5"/>
  <c r="AI223" i="4"/>
  <c r="L15" i="5"/>
  <c r="N15" i="5"/>
  <c r="O15" i="5"/>
  <c r="Z15" i="5"/>
  <c r="AG16" i="5"/>
  <c r="AF16" i="5"/>
  <c r="K16" i="5"/>
  <c r="AI42" i="4"/>
  <c r="L16" i="5"/>
  <c r="N16" i="5"/>
  <c r="O16" i="5"/>
  <c r="F16" i="5"/>
  <c r="H16" i="5"/>
  <c r="I16" i="5" s="1"/>
  <c r="AG17" i="5"/>
  <c r="AF17" i="5"/>
  <c r="T17" i="5"/>
  <c r="AI43" i="4"/>
  <c r="L17" i="5"/>
  <c r="N17" i="5"/>
  <c r="O17" i="5" s="1"/>
  <c r="F17" i="5"/>
  <c r="H17" i="5"/>
  <c r="I17" i="5" s="1"/>
  <c r="AG18" i="5"/>
  <c r="AF18" i="5"/>
  <c r="T18" i="5"/>
  <c r="L18" i="5"/>
  <c r="N18" i="5"/>
  <c r="O18" i="5" s="1"/>
  <c r="F18" i="5"/>
  <c r="H18" i="5"/>
  <c r="I18" i="5" s="1"/>
  <c r="AG21" i="5"/>
  <c r="AF21" i="5"/>
  <c r="B210" i="4"/>
  <c r="T21" i="5"/>
  <c r="AI210" i="4"/>
  <c r="L21" i="5"/>
  <c r="N21" i="5"/>
  <c r="O21" i="5" s="1"/>
  <c r="F21" i="5"/>
  <c r="H21" i="5"/>
  <c r="I21" i="5"/>
  <c r="Z21" i="5"/>
  <c r="AG22" i="5"/>
  <c r="AF22" i="5"/>
  <c r="B211" i="4"/>
  <c r="T22" i="5"/>
  <c r="AI211" i="4"/>
  <c r="L22" i="5"/>
  <c r="N22" i="5"/>
  <c r="O22" i="5" s="1"/>
  <c r="F22" i="5"/>
  <c r="H22" i="5"/>
  <c r="I22" i="5" s="1"/>
  <c r="Z22" i="5"/>
  <c r="AG23" i="5"/>
  <c r="AF23" i="5"/>
  <c r="AI212" i="4"/>
  <c r="F23" i="5"/>
  <c r="H23" i="5"/>
  <c r="I23" i="5"/>
  <c r="Z23" i="5"/>
  <c r="AG24" i="5"/>
  <c r="AF24" i="5"/>
  <c r="AI213" i="4"/>
  <c r="L24" i="5"/>
  <c r="N24" i="5"/>
  <c r="O24" i="5"/>
  <c r="F24" i="5"/>
  <c r="H24" i="5"/>
  <c r="I24" i="5" s="1"/>
  <c r="Z24" i="5"/>
  <c r="AG25" i="5"/>
  <c r="AF25" i="5"/>
  <c r="AI214" i="4"/>
  <c r="L25" i="5"/>
  <c r="N25" i="5"/>
  <c r="O25" i="5"/>
  <c r="F25" i="5"/>
  <c r="H25" i="5"/>
  <c r="I25" i="5"/>
  <c r="Z25" i="5"/>
  <c r="AG26" i="5"/>
  <c r="AF26" i="5"/>
  <c r="AI215" i="4"/>
  <c r="L26" i="5"/>
  <c r="N26" i="5"/>
  <c r="O26" i="5"/>
  <c r="F26" i="5"/>
  <c r="H26" i="5"/>
  <c r="I26" i="5" s="1"/>
  <c r="Z26" i="5"/>
  <c r="AG27" i="5"/>
  <c r="AF27" i="5"/>
  <c r="B194" i="4"/>
  <c r="I27" i="5"/>
  <c r="K27" i="5"/>
  <c r="T27" i="5"/>
  <c r="AI194" i="4"/>
  <c r="L27" i="5"/>
  <c r="N27" i="5"/>
  <c r="O27" i="5" s="1"/>
  <c r="Z27" i="5"/>
  <c r="AF28" i="5"/>
  <c r="I28" i="5"/>
  <c r="AI229" i="4"/>
  <c r="L28" i="5"/>
  <c r="N28" i="5"/>
  <c r="O28" i="5" s="1"/>
  <c r="Z28" i="5"/>
  <c r="O29" i="5"/>
  <c r="B233" i="4"/>
  <c r="AG29" i="5"/>
  <c r="AF29" i="5"/>
  <c r="T29" i="5"/>
  <c r="AA29" i="5"/>
  <c r="AI233" i="4"/>
  <c r="F29" i="5"/>
  <c r="H29" i="5"/>
  <c r="I29" i="5"/>
  <c r="Z29" i="5"/>
  <c r="AG30" i="5"/>
  <c r="AF30" i="5"/>
  <c r="B234" i="4"/>
  <c r="T30" i="5"/>
  <c r="AA30" i="5"/>
  <c r="AI234" i="4"/>
  <c r="L30" i="5"/>
  <c r="N30" i="5"/>
  <c r="O30" i="5" s="1"/>
  <c r="F30" i="5"/>
  <c r="H30" i="5"/>
  <c r="I30" i="5" s="1"/>
  <c r="Z30" i="5"/>
  <c r="AG31" i="5"/>
  <c r="AF31" i="5"/>
  <c r="K31" i="5"/>
  <c r="AI45" i="4"/>
  <c r="L31" i="5"/>
  <c r="N31" i="5"/>
  <c r="O31" i="5"/>
  <c r="F31" i="5"/>
  <c r="H31" i="5"/>
  <c r="I31" i="5" s="1"/>
  <c r="B46" i="4"/>
  <c r="AG32" i="5"/>
  <c r="AF32" i="5"/>
  <c r="K32" i="5"/>
  <c r="T32" i="5"/>
  <c r="AI46" i="4"/>
  <c r="L32" i="5"/>
  <c r="N32" i="5"/>
  <c r="O32" i="5" s="1"/>
  <c r="F32" i="5"/>
  <c r="H32" i="5"/>
  <c r="I32" i="5" s="1"/>
  <c r="B47" i="4"/>
  <c r="AG33" i="5"/>
  <c r="AF33" i="5"/>
  <c r="K33" i="5"/>
  <c r="T33" i="5"/>
  <c r="AI47" i="4"/>
  <c r="L33" i="5"/>
  <c r="N33" i="5"/>
  <c r="O33" i="5"/>
  <c r="F33" i="5"/>
  <c r="H33" i="5"/>
  <c r="I33" i="5"/>
  <c r="B49" i="4"/>
  <c r="AG34" i="5"/>
  <c r="AF34" i="5"/>
  <c r="K34" i="5"/>
  <c r="T34" i="5"/>
  <c r="AI49" i="4"/>
  <c r="L34" i="5"/>
  <c r="N34" i="5"/>
  <c r="O34" i="5" s="1"/>
  <c r="F34" i="5"/>
  <c r="H34" i="5"/>
  <c r="I34" i="5" s="1"/>
  <c r="AF35" i="5"/>
  <c r="K35" i="5"/>
  <c r="T35" i="5"/>
  <c r="AI101" i="4"/>
  <c r="AI35" i="5"/>
  <c r="L35" i="5"/>
  <c r="F35" i="5"/>
  <c r="H35" i="5"/>
  <c r="I35" i="5" s="1"/>
  <c r="N35" i="5"/>
  <c r="O35" i="5" s="1"/>
  <c r="Z35" i="5"/>
  <c r="AF36" i="5"/>
  <c r="K36" i="5"/>
  <c r="T36" i="5"/>
  <c r="AI202" i="4"/>
  <c r="L36" i="5"/>
  <c r="F36" i="5"/>
  <c r="H36" i="5"/>
  <c r="I36" i="5"/>
  <c r="N36" i="5"/>
  <c r="O36" i="5" s="1"/>
  <c r="Z36" i="5"/>
  <c r="AF37" i="5"/>
  <c r="K37" i="5"/>
  <c r="T37" i="5"/>
  <c r="AI203" i="4"/>
  <c r="L37" i="5"/>
  <c r="F37" i="5"/>
  <c r="H37" i="5"/>
  <c r="I37" i="5" s="1"/>
  <c r="N37" i="5"/>
  <c r="O37" i="5"/>
  <c r="Z37" i="5"/>
  <c r="AG38" i="5"/>
  <c r="AF38" i="5"/>
  <c r="B50" i="4"/>
  <c r="T38" i="5"/>
  <c r="U38" i="5"/>
  <c r="AA38" i="5"/>
  <c r="AI50" i="4"/>
  <c r="F38" i="5"/>
  <c r="H38" i="5"/>
  <c r="I38" i="5" s="1"/>
  <c r="L38" i="5"/>
  <c r="N38" i="5"/>
  <c r="O38" i="5"/>
  <c r="Z38" i="5"/>
  <c r="AG39" i="5"/>
  <c r="AF39" i="5"/>
  <c r="B51" i="4"/>
  <c r="AA39" i="5"/>
  <c r="AI51" i="4"/>
  <c r="F39" i="5"/>
  <c r="H39" i="5"/>
  <c r="I39" i="5"/>
  <c r="L39" i="5"/>
  <c r="N39" i="5"/>
  <c r="O39" i="5"/>
  <c r="Z39" i="5"/>
  <c r="AG40" i="5"/>
  <c r="AF40" i="5"/>
  <c r="B52" i="4"/>
  <c r="T40" i="5"/>
  <c r="U40" i="5"/>
  <c r="AA40" i="5"/>
  <c r="AI52" i="4"/>
  <c r="F40" i="5"/>
  <c r="H40" i="5"/>
  <c r="I40" i="5" s="1"/>
  <c r="L40" i="5"/>
  <c r="N40" i="5"/>
  <c r="O40" i="5"/>
  <c r="Z40" i="5"/>
  <c r="AG41" i="5"/>
  <c r="AF41" i="5"/>
  <c r="T41" i="5"/>
  <c r="U41" i="5"/>
  <c r="AI58" i="4"/>
  <c r="F41" i="5"/>
  <c r="H41" i="5"/>
  <c r="I41" i="5"/>
  <c r="L41" i="5"/>
  <c r="N41" i="5"/>
  <c r="O41" i="5"/>
  <c r="Z41" i="5"/>
  <c r="AG42" i="5"/>
  <c r="AF42" i="5"/>
  <c r="B36" i="4"/>
  <c r="T42" i="5"/>
  <c r="U42" i="5"/>
  <c r="AA42" i="5"/>
  <c r="AI36" i="4"/>
  <c r="F42" i="5"/>
  <c r="H42" i="5"/>
  <c r="I42" i="5" s="1"/>
  <c r="L42" i="5"/>
  <c r="N42" i="5"/>
  <c r="O42" i="5" s="1"/>
  <c r="Z42" i="5"/>
  <c r="AG43" i="5"/>
  <c r="AF43" i="5"/>
  <c r="T43" i="5"/>
  <c r="AA43" i="5"/>
  <c r="AI53" i="4"/>
  <c r="F43" i="5"/>
  <c r="H43" i="5"/>
  <c r="I43" i="5" s="1"/>
  <c r="AD69" i="2" s="1"/>
  <c r="L43" i="5"/>
  <c r="N43" i="5"/>
  <c r="O43" i="5" s="1"/>
  <c r="AK69" i="2" s="1"/>
  <c r="Z43" i="5"/>
  <c r="AG44" i="5"/>
  <c r="AF44" i="5"/>
  <c r="AA44" i="5"/>
  <c r="AI88" i="4"/>
  <c r="F44" i="5"/>
  <c r="H44" i="5"/>
  <c r="I44" i="5"/>
  <c r="L44" i="5"/>
  <c r="N44" i="5"/>
  <c r="O44" i="5"/>
  <c r="Z44" i="5"/>
  <c r="AG45" i="5"/>
  <c r="AF45" i="5"/>
  <c r="T45" i="5"/>
  <c r="AI59" i="4"/>
  <c r="Z45" i="5"/>
  <c r="AG46" i="5"/>
  <c r="AF46" i="5"/>
  <c r="T46" i="5"/>
  <c r="U46" i="5"/>
  <c r="AI260" i="4"/>
  <c r="F46" i="5"/>
  <c r="H46" i="5"/>
  <c r="I46" i="5" s="1"/>
  <c r="L46" i="5"/>
  <c r="N46" i="5"/>
  <c r="O46" i="5" s="1"/>
  <c r="Z46" i="5"/>
  <c r="AG47" i="5"/>
  <c r="AF47" i="5"/>
  <c r="AI54" i="4"/>
  <c r="F47" i="5"/>
  <c r="H47" i="5"/>
  <c r="I47" i="5" s="1"/>
  <c r="L47" i="5"/>
  <c r="N47" i="5"/>
  <c r="O47" i="5" s="1"/>
  <c r="Z47" i="5"/>
  <c r="AG48" i="5"/>
  <c r="AF48" i="5"/>
  <c r="B89" i="4"/>
  <c r="T48" i="5"/>
  <c r="U48" i="5"/>
  <c r="AA48" i="5"/>
  <c r="AI89" i="4"/>
  <c r="F48" i="5"/>
  <c r="H48" i="5"/>
  <c r="I48" i="5"/>
  <c r="L48" i="5"/>
  <c r="N48" i="5"/>
  <c r="O48" i="5"/>
  <c r="Z48" i="5"/>
  <c r="AG49" i="5"/>
  <c r="AF49" i="5"/>
  <c r="B26" i="4"/>
  <c r="T49" i="5"/>
  <c r="AA49" i="5"/>
  <c r="AI26" i="4"/>
  <c r="F49" i="5"/>
  <c r="H49" i="5"/>
  <c r="I49" i="5"/>
  <c r="L49" i="5"/>
  <c r="N49" i="5"/>
  <c r="O49" i="5"/>
  <c r="Z49" i="5"/>
  <c r="AG50" i="5"/>
  <c r="AF50" i="5"/>
  <c r="B272" i="4"/>
  <c r="T50" i="5"/>
  <c r="U50" i="5"/>
  <c r="AI272" i="4"/>
  <c r="L50" i="5"/>
  <c r="F50" i="5"/>
  <c r="H50" i="5"/>
  <c r="I50" i="5"/>
  <c r="N50" i="5"/>
  <c r="O50" i="5" s="1"/>
  <c r="Z50" i="5"/>
  <c r="AG51" i="5"/>
  <c r="AF51" i="5"/>
  <c r="B273" i="4"/>
  <c r="L51" i="5"/>
  <c r="F51" i="5"/>
  <c r="H51" i="5"/>
  <c r="I51" i="5" s="1"/>
  <c r="N51" i="5"/>
  <c r="O51" i="5"/>
  <c r="Z51" i="5"/>
  <c r="AF52" i="5"/>
  <c r="T52" i="5"/>
  <c r="U52" i="5"/>
  <c r="AI289" i="4"/>
  <c r="L52" i="5"/>
  <c r="F52" i="5"/>
  <c r="H52" i="5"/>
  <c r="I52" i="5" s="1"/>
  <c r="N52" i="5"/>
  <c r="O52" i="5"/>
  <c r="Z52" i="5"/>
  <c r="AG53" i="5"/>
  <c r="AF53" i="5"/>
  <c r="B205" i="4"/>
  <c r="T53" i="5"/>
  <c r="U53" i="5"/>
  <c r="AI205" i="4"/>
  <c r="L53" i="5"/>
  <c r="F53" i="5"/>
  <c r="H53" i="5"/>
  <c r="I53" i="5" s="1"/>
  <c r="N53" i="5"/>
  <c r="O53" i="5"/>
  <c r="Z53" i="5"/>
  <c r="AG54" i="5"/>
  <c r="AF54" i="5"/>
  <c r="K54" i="5"/>
  <c r="O54" i="5"/>
  <c r="AI169" i="4"/>
  <c r="F54" i="5"/>
  <c r="H54" i="5"/>
  <c r="I54" i="5"/>
  <c r="Z54" i="5"/>
  <c r="AG55" i="5"/>
  <c r="AF55" i="5"/>
  <c r="AI103" i="4"/>
  <c r="L55" i="5"/>
  <c r="N55" i="5"/>
  <c r="O55" i="5"/>
  <c r="F55" i="5"/>
  <c r="H55" i="5"/>
  <c r="I55" i="5"/>
  <c r="Z55" i="5"/>
  <c r="AG56" i="5"/>
  <c r="AF56" i="5"/>
  <c r="AI104" i="4"/>
  <c r="L56" i="5"/>
  <c r="N56" i="5"/>
  <c r="O56" i="5"/>
  <c r="F56" i="5"/>
  <c r="H56" i="5"/>
  <c r="I56" i="5"/>
  <c r="Z56" i="5"/>
  <c r="AG57" i="5"/>
  <c r="AF57" i="5"/>
  <c r="T57" i="5"/>
  <c r="U57" i="5"/>
  <c r="AI105" i="4"/>
  <c r="L57" i="5"/>
  <c r="N57" i="5"/>
  <c r="O57" i="5" s="1"/>
  <c r="F57" i="5"/>
  <c r="H57" i="5"/>
  <c r="I57" i="5"/>
  <c r="Z57" i="5"/>
  <c r="AG58" i="5"/>
  <c r="AF58" i="5"/>
  <c r="AI106" i="4"/>
  <c r="F58" i="5"/>
  <c r="H58" i="5"/>
  <c r="I58" i="5"/>
  <c r="Z58" i="5"/>
  <c r="AG59" i="5"/>
  <c r="AF59" i="5"/>
  <c r="AI107" i="4"/>
  <c r="L59" i="5"/>
  <c r="N59" i="5"/>
  <c r="O59" i="5"/>
  <c r="F59" i="5"/>
  <c r="H59" i="5"/>
  <c r="I59" i="5"/>
  <c r="Z59" i="5"/>
  <c r="AG60" i="5"/>
  <c r="AF60" i="5"/>
  <c r="T60" i="5"/>
  <c r="U60" i="5"/>
  <c r="AI108" i="4"/>
  <c r="F60" i="5"/>
  <c r="H60" i="5"/>
  <c r="I60" i="5" s="1"/>
  <c r="AD78" i="2" s="1"/>
  <c r="Z60" i="5"/>
  <c r="AA61" i="5"/>
  <c r="O61" i="5"/>
  <c r="K61" i="5"/>
  <c r="AF61" i="5"/>
  <c r="L61" i="5"/>
  <c r="N61" i="5"/>
  <c r="AI5" i="4"/>
  <c r="T5" i="4" s="1" a="1"/>
  <c r="T5" i="4" s="1"/>
  <c r="AC61" i="5" s="1"/>
  <c r="R61" i="5"/>
  <c r="T61" i="5"/>
  <c r="F61" i="5"/>
  <c r="H61" i="5"/>
  <c r="I61" i="5" s="1"/>
  <c r="AG62" i="5"/>
  <c r="AF62" i="5"/>
  <c r="B37" i="4"/>
  <c r="T62" i="5"/>
  <c r="U62" i="5"/>
  <c r="AA62" i="5"/>
  <c r="AI37" i="4"/>
  <c r="AI62" i="5"/>
  <c r="F62" i="5"/>
  <c r="H62" i="5"/>
  <c r="I62" i="5" s="1"/>
  <c r="L62" i="5"/>
  <c r="N62" i="5"/>
  <c r="O62" i="5" s="1"/>
  <c r="Z62" i="5"/>
  <c r="AG63" i="5"/>
  <c r="AF63" i="5"/>
  <c r="B38" i="4"/>
  <c r="T63" i="5"/>
  <c r="U63" i="5"/>
  <c r="AA63" i="5"/>
  <c r="AI38" i="4"/>
  <c r="F63" i="5"/>
  <c r="H63" i="5"/>
  <c r="I63" i="5" s="1"/>
  <c r="L63" i="5"/>
  <c r="N63" i="5"/>
  <c r="O63" i="5" s="1"/>
  <c r="Z63" i="5"/>
  <c r="AG64" i="5"/>
  <c r="AF64" i="5"/>
  <c r="B39" i="4"/>
  <c r="T64" i="5"/>
  <c r="U64" i="5"/>
  <c r="AA64" i="5"/>
  <c r="AI39" i="4"/>
  <c r="F64" i="5"/>
  <c r="H64" i="5"/>
  <c r="I64" i="5" s="1"/>
  <c r="L64" i="5"/>
  <c r="N64" i="5"/>
  <c r="O64" i="5" s="1"/>
  <c r="Z64" i="5"/>
  <c r="AG65" i="5"/>
  <c r="AF65" i="5"/>
  <c r="B109" i="4"/>
  <c r="T65" i="5"/>
  <c r="U65" i="5"/>
  <c r="AA65" i="5"/>
  <c r="AI109" i="4"/>
  <c r="F65" i="5"/>
  <c r="H65" i="5"/>
  <c r="I65" i="5"/>
  <c r="L65" i="5"/>
  <c r="N65" i="5"/>
  <c r="O65" i="5"/>
  <c r="Z65" i="5"/>
  <c r="AG66" i="5"/>
  <c r="AF66" i="5"/>
  <c r="B60" i="4"/>
  <c r="T66" i="5"/>
  <c r="U66" i="5"/>
  <c r="AA66" i="5"/>
  <c r="AI60" i="4"/>
  <c r="F66" i="5"/>
  <c r="H66" i="5"/>
  <c r="I66" i="5"/>
  <c r="L66" i="5"/>
  <c r="N66" i="5"/>
  <c r="O66" i="5" s="1"/>
  <c r="Z66" i="5"/>
  <c r="AG67" i="5"/>
  <c r="AF67" i="5"/>
  <c r="B55" i="4"/>
  <c r="T67" i="5"/>
  <c r="U67" i="5"/>
  <c r="AA67" i="5"/>
  <c r="AI55" i="4"/>
  <c r="F67" i="5"/>
  <c r="H67" i="5"/>
  <c r="I67" i="5" s="1"/>
  <c r="L67" i="5"/>
  <c r="N67" i="5"/>
  <c r="O67" i="5" s="1"/>
  <c r="Z67" i="5"/>
  <c r="AG68" i="5"/>
  <c r="AF68" i="5"/>
  <c r="T68" i="5"/>
  <c r="U68" i="5"/>
  <c r="AI170" i="4"/>
  <c r="F68" i="5"/>
  <c r="H68" i="5"/>
  <c r="I68" i="5"/>
  <c r="L68" i="5"/>
  <c r="N68" i="5"/>
  <c r="O68" i="5"/>
  <c r="Z68" i="5"/>
  <c r="AG69" i="5"/>
  <c r="AF69" i="5"/>
  <c r="AI171" i="4"/>
  <c r="AD69" i="5"/>
  <c r="F69" i="5"/>
  <c r="H69" i="5"/>
  <c r="I69" i="5"/>
  <c r="Z69" i="5"/>
  <c r="AG70" i="5"/>
  <c r="AF70" i="5"/>
  <c r="AI172" i="4"/>
  <c r="F70" i="5"/>
  <c r="H70" i="5"/>
  <c r="I70" i="5" s="1"/>
  <c r="L70" i="5"/>
  <c r="N70" i="5"/>
  <c r="O70" i="5" s="1"/>
  <c r="Z70" i="5"/>
  <c r="AG71" i="5"/>
  <c r="AF71" i="5"/>
  <c r="B206" i="4"/>
  <c r="T71" i="5"/>
  <c r="U71" i="5"/>
  <c r="AA71" i="5"/>
  <c r="AI206" i="4"/>
  <c r="F71" i="5"/>
  <c r="H71" i="5"/>
  <c r="I71" i="5" s="1"/>
  <c r="L71" i="5"/>
  <c r="N71" i="5"/>
  <c r="O71" i="5" s="1"/>
  <c r="Z71" i="5"/>
  <c r="AG72" i="5"/>
  <c r="AF72" i="5"/>
  <c r="AI207" i="4"/>
  <c r="F72" i="5"/>
  <c r="H72" i="5"/>
  <c r="I72" i="5"/>
  <c r="L72" i="5"/>
  <c r="N72" i="5"/>
  <c r="O72" i="5" s="1"/>
  <c r="Z72" i="5"/>
  <c r="AG73" i="5"/>
  <c r="AF73" i="5"/>
  <c r="I73" i="5"/>
  <c r="U73" i="5"/>
  <c r="AI267" i="4"/>
  <c r="L73" i="5"/>
  <c r="N73" i="5"/>
  <c r="O73" i="5"/>
  <c r="Z73" i="5"/>
  <c r="AG74" i="5"/>
  <c r="AF74" i="5"/>
  <c r="U74" i="5"/>
  <c r="AI135" i="4"/>
  <c r="F74" i="5"/>
  <c r="H74" i="5"/>
  <c r="I74" i="5"/>
  <c r="L74" i="5"/>
  <c r="N74" i="5"/>
  <c r="O74" i="5" s="1"/>
  <c r="Z74" i="5"/>
  <c r="AG75" i="5"/>
  <c r="AF75" i="5"/>
  <c r="T75" i="5"/>
  <c r="AI208" i="4"/>
  <c r="F75" i="5"/>
  <c r="H75" i="5"/>
  <c r="I75" i="5"/>
  <c r="L75" i="5"/>
  <c r="N75" i="5"/>
  <c r="O75" i="5"/>
  <c r="Z75" i="5"/>
  <c r="AG76" i="5"/>
  <c r="AF76" i="5"/>
  <c r="B248" i="4"/>
  <c r="T76" i="5"/>
  <c r="U76" i="5"/>
  <c r="AI248" i="4"/>
  <c r="F76" i="5"/>
  <c r="H76" i="5"/>
  <c r="I76" i="5" s="1"/>
  <c r="L76" i="5"/>
  <c r="N76" i="5"/>
  <c r="O76" i="5"/>
  <c r="Z76" i="5"/>
  <c r="AG77" i="5"/>
  <c r="AF77" i="5"/>
  <c r="C302" i="4"/>
  <c r="C77" i="5" s="1"/>
  <c r="R106" i="8" s="1"/>
  <c r="I77" i="5"/>
  <c r="T77" i="5"/>
  <c r="U77" i="5"/>
  <c r="AI302" i="4"/>
  <c r="AD77" i="5"/>
  <c r="L77" i="5"/>
  <c r="N77" i="5"/>
  <c r="O77" i="5" s="1"/>
  <c r="Z77" i="5"/>
  <c r="AG78" i="5"/>
  <c r="AF78" i="5"/>
  <c r="C173" i="4"/>
  <c r="C78" i="5" s="1"/>
  <c r="R107" i="8" s="1"/>
  <c r="T78" i="5"/>
  <c r="U78" i="5"/>
  <c r="Z78" i="5"/>
  <c r="AG79" i="5"/>
  <c r="AF79" i="5"/>
  <c r="B174" i="4"/>
  <c r="C174" i="4" s="1"/>
  <c r="C79" i="5" s="1"/>
  <c r="I79" i="5"/>
  <c r="T79" i="5"/>
  <c r="U79" i="5"/>
  <c r="AI174" i="4"/>
  <c r="T174" i="4" s="1" a="1"/>
  <c r="T174" i="4" s="1"/>
  <c r="AC79" i="5" s="1"/>
  <c r="AD79" i="5"/>
  <c r="L79" i="5"/>
  <c r="N79" i="5"/>
  <c r="O79" i="5"/>
  <c r="Z79" i="5"/>
  <c r="AF80" i="5"/>
  <c r="T80" i="5"/>
  <c r="AI221" i="4"/>
  <c r="F80" i="5"/>
  <c r="H80" i="5"/>
  <c r="I80" i="5"/>
  <c r="L80" i="5"/>
  <c r="N80" i="5"/>
  <c r="O80" i="5"/>
  <c r="Z80" i="5"/>
  <c r="AG81" i="5"/>
  <c r="AF81" i="5"/>
  <c r="K81" i="5"/>
  <c r="AI175" i="4"/>
  <c r="F81" i="5"/>
  <c r="H81" i="5"/>
  <c r="I81" i="5" s="1"/>
  <c r="L81" i="5"/>
  <c r="N81" i="5"/>
  <c r="O81" i="5"/>
  <c r="Z81" i="5"/>
  <c r="AG82" i="5"/>
  <c r="AF82" i="5"/>
  <c r="K82" i="5"/>
  <c r="AI3" i="2" s="1"/>
  <c r="AI90" i="4"/>
  <c r="F82" i="5"/>
  <c r="H82" i="5"/>
  <c r="I82" i="5"/>
  <c r="L82" i="5"/>
  <c r="N82" i="5"/>
  <c r="O82" i="5" s="1"/>
  <c r="Z82" i="5"/>
  <c r="AG83" i="5"/>
  <c r="AF83" i="5"/>
  <c r="K83" i="5"/>
  <c r="AI177" i="4"/>
  <c r="F83" i="5"/>
  <c r="H83" i="5"/>
  <c r="I83" i="5" s="1"/>
  <c r="L83" i="5"/>
  <c r="N83" i="5"/>
  <c r="O83" i="5" s="1"/>
  <c r="Z83" i="5"/>
  <c r="AG84" i="5"/>
  <c r="AF84" i="5"/>
  <c r="K84" i="5"/>
  <c r="U84" i="5"/>
  <c r="AI136" i="4"/>
  <c r="F84" i="5"/>
  <c r="H84" i="5"/>
  <c r="I84" i="5"/>
  <c r="L84" i="5"/>
  <c r="N84" i="5"/>
  <c r="O84" i="5"/>
  <c r="Z84" i="5"/>
  <c r="AG85" i="5"/>
  <c r="AF85" i="5"/>
  <c r="K85" i="5"/>
  <c r="F85" i="5"/>
  <c r="H85" i="5"/>
  <c r="I85" i="5" s="1"/>
  <c r="L85" i="5"/>
  <c r="N85" i="5"/>
  <c r="O85" i="5" s="1"/>
  <c r="Z85" i="5"/>
  <c r="AG86" i="5"/>
  <c r="AF86" i="5"/>
  <c r="B138" i="4"/>
  <c r="K86" i="5"/>
  <c r="T86" i="5"/>
  <c r="U86" i="5"/>
  <c r="AI138" i="4"/>
  <c r="F86" i="5"/>
  <c r="H86" i="5"/>
  <c r="I86" i="5"/>
  <c r="L86" i="5"/>
  <c r="N86" i="5"/>
  <c r="O86" i="5"/>
  <c r="Z86" i="5"/>
  <c r="AG87" i="5"/>
  <c r="AF87" i="5"/>
  <c r="T87" i="5"/>
  <c r="AI180" i="4"/>
  <c r="L87" i="5"/>
  <c r="N87" i="5"/>
  <c r="O87" i="5"/>
  <c r="AK76" i="2" s="1"/>
  <c r="Z87" i="5"/>
  <c r="AG88" i="5"/>
  <c r="T88" i="5"/>
  <c r="AI110" i="4"/>
  <c r="L88" i="5"/>
  <c r="N88" i="5"/>
  <c r="O88" i="5" s="1"/>
  <c r="AK77" i="2" s="1"/>
  <c r="Z88" i="5"/>
  <c r="AG89" i="5"/>
  <c r="AF89" i="5"/>
  <c r="B293" i="4"/>
  <c r="I89" i="5"/>
  <c r="T89" i="5"/>
  <c r="U89" i="5"/>
  <c r="AI293" i="4"/>
  <c r="L89" i="5"/>
  <c r="N89" i="5"/>
  <c r="O89" i="5"/>
  <c r="Z89" i="5"/>
  <c r="B40" i="4"/>
  <c r="AI40" i="4"/>
  <c r="R90" i="5"/>
  <c r="T90" i="5"/>
  <c r="F90" i="5"/>
  <c r="H90" i="5"/>
  <c r="T91" i="5"/>
  <c r="F91" i="5"/>
  <c r="H91" i="5"/>
  <c r="AD68" i="2" s="1"/>
  <c r="O92" i="5"/>
  <c r="K92" i="5"/>
  <c r="AG92" i="5"/>
  <c r="AF92" i="5"/>
  <c r="B91" i="4"/>
  <c r="T92" i="5"/>
  <c r="U92" i="5"/>
  <c r="AI91" i="4"/>
  <c r="F92" i="5"/>
  <c r="H92" i="5"/>
  <c r="I92" i="5" s="1"/>
  <c r="Z92" i="5"/>
  <c r="AG93" i="5"/>
  <c r="AF93" i="5"/>
  <c r="B120" i="4"/>
  <c r="K93" i="5"/>
  <c r="T93" i="5"/>
  <c r="U93" i="5"/>
  <c r="AI120" i="4"/>
  <c r="F93" i="5"/>
  <c r="H93" i="5"/>
  <c r="I93" i="5" s="1"/>
  <c r="L93" i="5"/>
  <c r="N93" i="5"/>
  <c r="O93" i="5"/>
  <c r="Z93" i="5"/>
  <c r="AG94" i="5"/>
  <c r="AF94" i="5"/>
  <c r="B111" i="4"/>
  <c r="K94" i="5"/>
  <c r="F94" i="5"/>
  <c r="H94" i="5"/>
  <c r="I94" i="5" s="1"/>
  <c r="L94" i="5"/>
  <c r="N94" i="5"/>
  <c r="O94" i="5"/>
  <c r="Z94" i="5"/>
  <c r="AG95" i="5"/>
  <c r="AF95" i="5"/>
  <c r="B236" i="4"/>
  <c r="K95" i="5"/>
  <c r="T95" i="5"/>
  <c r="U95" i="5"/>
  <c r="AI236" i="4"/>
  <c r="F95" i="5"/>
  <c r="H95" i="5"/>
  <c r="I95" i="5" s="1"/>
  <c r="L95" i="5"/>
  <c r="N95" i="5"/>
  <c r="O95" i="5"/>
  <c r="Z95" i="5"/>
  <c r="AG96" i="5"/>
  <c r="AF96" i="5"/>
  <c r="B261" i="4"/>
  <c r="K96" i="5"/>
  <c r="T96" i="5"/>
  <c r="U96" i="5"/>
  <c r="AA96" i="5"/>
  <c r="AI261" i="4"/>
  <c r="F96" i="5"/>
  <c r="H96" i="5"/>
  <c r="I96" i="5"/>
  <c r="L96" i="5"/>
  <c r="N96" i="5"/>
  <c r="O96" i="5" s="1"/>
  <c r="Z96" i="5"/>
  <c r="AG97" i="5"/>
  <c r="AA97" i="5"/>
  <c r="Z97" i="5"/>
  <c r="AG98" i="5"/>
  <c r="AF98" i="5"/>
  <c r="B295" i="4"/>
  <c r="K98" i="5"/>
  <c r="T98" i="5"/>
  <c r="U98" i="5"/>
  <c r="AA98" i="5"/>
  <c r="AI295" i="4"/>
  <c r="F98" i="5"/>
  <c r="H98" i="5"/>
  <c r="I98" i="5" s="1"/>
  <c r="L98" i="5"/>
  <c r="N98" i="5"/>
  <c r="O98" i="5"/>
  <c r="Z98" i="5"/>
  <c r="AG99" i="5"/>
  <c r="AF99" i="5"/>
  <c r="B249" i="4"/>
  <c r="K99" i="5"/>
  <c r="T99" i="5"/>
  <c r="AI249" i="4"/>
  <c r="F99" i="5"/>
  <c r="I99" i="5"/>
  <c r="L99" i="5"/>
  <c r="N99" i="5"/>
  <c r="O99" i="5"/>
  <c r="Z99" i="5"/>
  <c r="AG100" i="5"/>
  <c r="AF100" i="5"/>
  <c r="B268" i="4"/>
  <c r="AI268" i="4"/>
  <c r="F100" i="5"/>
  <c r="I100" i="5"/>
  <c r="L100" i="5"/>
  <c r="N100" i="5"/>
  <c r="O100" i="5"/>
  <c r="Z100" i="5"/>
  <c r="O101" i="5"/>
  <c r="AF101" i="5"/>
  <c r="T101" i="5"/>
  <c r="U101" i="5"/>
  <c r="AI291" i="4"/>
  <c r="H101" i="5"/>
  <c r="I101" i="5"/>
  <c r="F101" i="5"/>
  <c r="Z101" i="5"/>
  <c r="AG102" i="5"/>
  <c r="AF102" i="5"/>
  <c r="B283" i="4"/>
  <c r="I102" i="5"/>
  <c r="AI283" i="4"/>
  <c r="L102" i="5"/>
  <c r="N102" i="5"/>
  <c r="O102" i="5"/>
  <c r="Z102" i="5"/>
  <c r="AG103" i="5"/>
  <c r="AF103" i="5"/>
  <c r="B250" i="4"/>
  <c r="I103" i="5"/>
  <c r="T103" i="5"/>
  <c r="AI250" i="4"/>
  <c r="L103" i="5"/>
  <c r="N103" i="5"/>
  <c r="O103" i="5" s="1"/>
  <c r="Z103" i="5"/>
  <c r="AG104" i="5"/>
  <c r="AF104" i="5"/>
  <c r="B237" i="4"/>
  <c r="I104" i="5"/>
  <c r="T104" i="5"/>
  <c r="AI237" i="4"/>
  <c r="L104" i="5"/>
  <c r="N104" i="5"/>
  <c r="O104" i="5"/>
  <c r="Z104" i="5"/>
  <c r="AF105" i="5"/>
  <c r="I105" i="5"/>
  <c r="K105" i="5"/>
  <c r="T105" i="5"/>
  <c r="AI238" i="4"/>
  <c r="L105" i="5"/>
  <c r="N105" i="5"/>
  <c r="O105" i="5"/>
  <c r="Z105" i="5"/>
  <c r="AG106" i="5"/>
  <c r="AF106" i="5"/>
  <c r="B284" i="4"/>
  <c r="I106" i="5"/>
  <c r="T106" i="5"/>
  <c r="U106" i="5"/>
  <c r="AI284" i="4"/>
  <c r="L106" i="5"/>
  <c r="N106" i="5"/>
  <c r="O106" i="5" s="1"/>
  <c r="Z106" i="5"/>
  <c r="AF107" i="5"/>
  <c r="U107" i="5"/>
  <c r="AI107" i="5"/>
  <c r="L107" i="5"/>
  <c r="N107" i="5"/>
  <c r="O107" i="5" s="1"/>
  <c r="AK81" i="2" s="1"/>
  <c r="Z107" i="5"/>
  <c r="AG108" i="5"/>
  <c r="AF108" i="5"/>
  <c r="I108" i="5"/>
  <c r="U108" i="5"/>
  <c r="AI286" i="4"/>
  <c r="AI108" i="5"/>
  <c r="L108" i="5"/>
  <c r="N108" i="5"/>
  <c r="O108" i="5"/>
  <c r="Z108" i="5"/>
  <c r="AG109" i="5"/>
  <c r="AF109" i="5"/>
  <c r="B62" i="4"/>
  <c r="T109" i="5"/>
  <c r="AI62" i="4"/>
  <c r="F109" i="5"/>
  <c r="H109" i="5"/>
  <c r="I109" i="5" s="1"/>
  <c r="L109" i="5"/>
  <c r="N109" i="5"/>
  <c r="O109" i="5" s="1"/>
  <c r="Z109" i="5"/>
  <c r="AF110" i="5"/>
  <c r="I110" i="5"/>
  <c r="T110" i="5"/>
  <c r="AI139" i="4"/>
  <c r="L110" i="5"/>
  <c r="N110" i="5"/>
  <c r="O110" i="5"/>
  <c r="Z110" i="5"/>
  <c r="AF111" i="5"/>
  <c r="T111" i="5"/>
  <c r="AI92" i="4"/>
  <c r="F111" i="5"/>
  <c r="H111" i="5"/>
  <c r="I111" i="5" s="1"/>
  <c r="L111" i="5"/>
  <c r="N111" i="5"/>
  <c r="O111" i="5"/>
  <c r="Z111" i="5"/>
  <c r="AF112" i="5"/>
  <c r="T112" i="5"/>
  <c r="AI93" i="4"/>
  <c r="F112" i="5"/>
  <c r="H112" i="5"/>
  <c r="I112" i="5"/>
  <c r="L112" i="5"/>
  <c r="N112" i="5"/>
  <c r="O112" i="5"/>
  <c r="Z112" i="5"/>
  <c r="AF113" i="5"/>
  <c r="T113" i="5"/>
  <c r="AI121" i="4"/>
  <c r="F113" i="5"/>
  <c r="H113" i="5"/>
  <c r="I113" i="5" s="1"/>
  <c r="L113" i="5"/>
  <c r="N113" i="5"/>
  <c r="O113" i="5"/>
  <c r="Z113" i="5"/>
  <c r="AG114" i="5"/>
  <c r="AF114" i="5"/>
  <c r="B239" i="4"/>
  <c r="K114" i="5"/>
  <c r="T114" i="5"/>
  <c r="AI239" i="4"/>
  <c r="F114" i="5"/>
  <c r="H114" i="5"/>
  <c r="I114" i="5"/>
  <c r="L114" i="5"/>
  <c r="N114" i="5"/>
  <c r="O114" i="5"/>
  <c r="Z114" i="5"/>
  <c r="AG115" i="5"/>
  <c r="AF115" i="5"/>
  <c r="B76" i="4"/>
  <c r="T115" i="5"/>
  <c r="U115" i="5"/>
  <c r="AA115" i="5"/>
  <c r="AI76" i="4"/>
  <c r="F115" i="5"/>
  <c r="H115" i="5"/>
  <c r="I115" i="5" s="1"/>
  <c r="L115" i="5"/>
  <c r="N115" i="5"/>
  <c r="O115" i="5" s="1"/>
  <c r="Z115" i="5"/>
  <c r="O116" i="5"/>
  <c r="K116" i="5"/>
  <c r="AG116" i="5"/>
  <c r="AF116" i="5"/>
  <c r="B56" i="4"/>
  <c r="I116" i="5"/>
  <c r="T116" i="5"/>
  <c r="U116" i="5"/>
  <c r="AA116" i="5"/>
  <c r="AI56" i="4"/>
  <c r="X116" i="5"/>
  <c r="Z116" i="5"/>
  <c r="AG117" i="5"/>
  <c r="AF117" i="5"/>
  <c r="B240" i="4"/>
  <c r="K117" i="5"/>
  <c r="T117" i="5"/>
  <c r="U117" i="5"/>
  <c r="AI240" i="4"/>
  <c r="F117" i="5"/>
  <c r="H117" i="5"/>
  <c r="I117" i="5"/>
  <c r="L117" i="5"/>
  <c r="N117" i="5"/>
  <c r="O117" i="5"/>
  <c r="Z117" i="5"/>
  <c r="AA118" i="5"/>
  <c r="AG118" i="5"/>
  <c r="AF118" i="5"/>
  <c r="K118" i="5"/>
  <c r="T118" i="5"/>
  <c r="U118" i="5"/>
  <c r="AI3" i="4"/>
  <c r="F118" i="5"/>
  <c r="H118" i="5"/>
  <c r="I118" i="5" s="1"/>
  <c r="L118" i="5"/>
  <c r="N118" i="5"/>
  <c r="O118" i="5" s="1"/>
  <c r="AG119" i="5"/>
  <c r="AF119" i="5"/>
  <c r="B77" i="4"/>
  <c r="I119" i="5"/>
  <c r="K119" i="5"/>
  <c r="T119" i="5"/>
  <c r="AA119" i="5"/>
  <c r="AI77" i="4"/>
  <c r="L119" i="5"/>
  <c r="N119" i="5"/>
  <c r="O119" i="5"/>
  <c r="Z119" i="5"/>
  <c r="AG120" i="5"/>
  <c r="AF120" i="5"/>
  <c r="B94" i="4"/>
  <c r="T120" i="5"/>
  <c r="W120" i="5"/>
  <c r="AA120" i="5"/>
  <c r="AI94" i="4"/>
  <c r="F120" i="5"/>
  <c r="H120" i="5"/>
  <c r="I120" i="5"/>
  <c r="L120" i="5"/>
  <c r="N120" i="5"/>
  <c r="O120" i="5" s="1"/>
  <c r="Z120" i="5"/>
  <c r="AG121" i="5"/>
  <c r="AF121" i="5"/>
  <c r="B78" i="4"/>
  <c r="U121" i="5"/>
  <c r="W121" i="5"/>
  <c r="AA121" i="5"/>
  <c r="AI78" i="4"/>
  <c r="F121" i="5"/>
  <c r="H121" i="5"/>
  <c r="I121" i="5"/>
  <c r="L121" i="5"/>
  <c r="N121" i="5"/>
  <c r="O121" i="5" s="1"/>
  <c r="Z121" i="5"/>
  <c r="AG122" i="5"/>
  <c r="AF122" i="5"/>
  <c r="B96" i="4"/>
  <c r="R122" i="5"/>
  <c r="T122" i="5"/>
  <c r="AA122" i="5"/>
  <c r="AI96" i="4"/>
  <c r="F122" i="5"/>
  <c r="H122" i="5"/>
  <c r="I122" i="5" s="1"/>
  <c r="L122" i="5"/>
  <c r="N122" i="5"/>
  <c r="O122" i="5"/>
  <c r="Z122" i="5"/>
  <c r="O123" i="5"/>
  <c r="B141" i="4"/>
  <c r="AG123" i="5"/>
  <c r="AF123" i="5"/>
  <c r="I123" i="5"/>
  <c r="T123" i="5"/>
  <c r="AI141" i="4"/>
  <c r="Z123" i="5"/>
  <c r="AG124" i="5"/>
  <c r="AF124" i="5"/>
  <c r="B298" i="4"/>
  <c r="T124" i="5"/>
  <c r="AA124" i="5"/>
  <c r="AI298" i="4"/>
  <c r="F124" i="5"/>
  <c r="H124" i="5"/>
  <c r="I124" i="5" s="1"/>
  <c r="L124" i="5"/>
  <c r="N124" i="5"/>
  <c r="O124" i="5"/>
  <c r="Z124" i="5"/>
  <c r="AG125" i="5"/>
  <c r="AF125" i="5"/>
  <c r="B142" i="4"/>
  <c r="T125" i="5"/>
  <c r="U125" i="5"/>
  <c r="AI142" i="4"/>
  <c r="F125" i="5"/>
  <c r="H125" i="5"/>
  <c r="I125" i="5"/>
  <c r="L125" i="5"/>
  <c r="N125" i="5"/>
  <c r="O125" i="5" s="1"/>
  <c r="Z125" i="5"/>
  <c r="AG126" i="5"/>
  <c r="AF126" i="5"/>
  <c r="B143" i="4"/>
  <c r="T126" i="5"/>
  <c r="AI143" i="4"/>
  <c r="F126" i="5"/>
  <c r="H126" i="5"/>
  <c r="I126" i="5" s="1"/>
  <c r="L126" i="5"/>
  <c r="N126" i="5"/>
  <c r="O126" i="5"/>
  <c r="Z126" i="5"/>
  <c r="AG127" i="5"/>
  <c r="AF127" i="5"/>
  <c r="B31" i="4"/>
  <c r="K127" i="5"/>
  <c r="T127" i="5"/>
  <c r="AA127" i="5"/>
  <c r="AI31" i="4"/>
  <c r="F127" i="5"/>
  <c r="H127" i="5"/>
  <c r="I127" i="5"/>
  <c r="L127" i="5"/>
  <c r="N127" i="5"/>
  <c r="O127" i="5" s="1"/>
  <c r="Z127" i="5"/>
  <c r="AG128" i="5"/>
  <c r="AF128" i="5"/>
  <c r="B241" i="4"/>
  <c r="I128" i="5"/>
  <c r="T128" i="5"/>
  <c r="U128" i="5"/>
  <c r="AI241" i="4"/>
  <c r="L128" i="5"/>
  <c r="N128" i="5"/>
  <c r="O128" i="5" s="1"/>
  <c r="Z128" i="5"/>
  <c r="B32" i="4"/>
  <c r="AG129" i="5"/>
  <c r="AF129" i="5"/>
  <c r="I129" i="5"/>
  <c r="K129" i="5"/>
  <c r="U129" i="5"/>
  <c r="AI32" i="4"/>
  <c r="R129" i="5"/>
  <c r="T129" i="5"/>
  <c r="L129" i="5"/>
  <c r="N129" i="5"/>
  <c r="O129" i="5" s="1"/>
  <c r="AG130" i="5"/>
  <c r="AF130" i="5"/>
  <c r="I130" i="5"/>
  <c r="U130" i="5"/>
  <c r="AI97" i="4"/>
  <c r="Z130" i="5"/>
  <c r="L130" i="5"/>
  <c r="N130" i="5"/>
  <c r="O130" i="5" s="1"/>
  <c r="AG131" i="5"/>
  <c r="AF131" i="5"/>
  <c r="B79" i="4"/>
  <c r="I131" i="5"/>
  <c r="T131" i="5"/>
  <c r="AA131" i="5"/>
  <c r="AI79" i="4"/>
  <c r="Z131" i="5"/>
  <c r="L131" i="5"/>
  <c r="N131" i="5"/>
  <c r="O131" i="5"/>
  <c r="AG132" i="5"/>
  <c r="AF132" i="5"/>
  <c r="B184" i="4"/>
  <c r="I132" i="5"/>
  <c r="K132" i="5"/>
  <c r="T132" i="5"/>
  <c r="U132" i="5"/>
  <c r="AI184" i="4"/>
  <c r="Z132" i="5"/>
  <c r="L132" i="5"/>
  <c r="N132" i="5"/>
  <c r="O132" i="5" s="1"/>
  <c r="AA133" i="5"/>
  <c r="O133" i="5"/>
  <c r="K133" i="5"/>
  <c r="AF133" i="5"/>
  <c r="T133" i="5"/>
  <c r="U133" i="5"/>
  <c r="AI2" i="4"/>
  <c r="F133" i="5"/>
  <c r="H133" i="5"/>
  <c r="I133" i="5" s="1"/>
  <c r="O134" i="5"/>
  <c r="K134" i="5"/>
  <c r="AG134" i="5"/>
  <c r="AF134" i="5"/>
  <c r="B80" i="4"/>
  <c r="T134" i="5"/>
  <c r="U134" i="5"/>
  <c r="AA134" i="5"/>
  <c r="AI80" i="4"/>
  <c r="Z134" i="5"/>
  <c r="F134" i="5"/>
  <c r="H134" i="5"/>
  <c r="I134" i="5"/>
  <c r="AG135" i="5"/>
  <c r="AF135" i="5"/>
  <c r="B113" i="4"/>
  <c r="T135" i="5"/>
  <c r="AI113" i="4"/>
  <c r="L135" i="5"/>
  <c r="N135" i="5"/>
  <c r="O135" i="5" s="1"/>
  <c r="Z135" i="5"/>
  <c r="F135" i="5"/>
  <c r="H135" i="5"/>
  <c r="I135" i="5"/>
  <c r="O136" i="5"/>
  <c r="B185" i="4"/>
  <c r="AG136" i="5"/>
  <c r="AF136" i="5"/>
  <c r="T136" i="5"/>
  <c r="U136" i="5"/>
  <c r="AA136" i="5"/>
  <c r="AI185" i="4"/>
  <c r="Z136" i="5"/>
  <c r="F136" i="5"/>
  <c r="H136" i="5"/>
  <c r="I136" i="5"/>
  <c r="B33" i="4"/>
  <c r="AG137" i="5"/>
  <c r="AF137" i="5"/>
  <c r="K137" i="5"/>
  <c r="U137" i="5"/>
  <c r="AI33" i="4"/>
  <c r="L137" i="5"/>
  <c r="N137" i="5"/>
  <c r="O137" i="5" s="1"/>
  <c r="R137" i="5"/>
  <c r="T137" i="5"/>
  <c r="F137" i="5"/>
  <c r="H137" i="5"/>
  <c r="I137" i="5"/>
  <c r="AG138" i="5"/>
  <c r="AF138" i="5"/>
  <c r="B114" i="4"/>
  <c r="T138" i="5"/>
  <c r="AI114" i="4"/>
  <c r="L138" i="5"/>
  <c r="N138" i="5"/>
  <c r="O138" i="5" s="1"/>
  <c r="F138" i="5"/>
  <c r="H138" i="5"/>
  <c r="I138" i="5"/>
  <c r="Z138" i="5"/>
  <c r="AG139" i="5"/>
  <c r="AF139" i="5"/>
  <c r="B278" i="4"/>
  <c r="I139" i="5"/>
  <c r="K139" i="5"/>
  <c r="T139" i="5"/>
  <c r="U139" i="5"/>
  <c r="AI278" i="4"/>
  <c r="L139" i="5"/>
  <c r="N139" i="5"/>
  <c r="O139" i="5"/>
  <c r="Z139" i="5"/>
  <c r="AG140" i="5"/>
  <c r="AF140" i="5"/>
  <c r="B290" i="4"/>
  <c r="I140" i="5"/>
  <c r="T140" i="5"/>
  <c r="U140" i="5"/>
  <c r="AI290" i="4"/>
  <c r="L140" i="5"/>
  <c r="N140" i="5"/>
  <c r="O140" i="5" s="1"/>
  <c r="Z140" i="5"/>
  <c r="AG141" i="5"/>
  <c r="AF141" i="5"/>
  <c r="I141" i="5"/>
  <c r="AI122" i="4"/>
  <c r="L141" i="5"/>
  <c r="N141" i="5"/>
  <c r="O141" i="5" s="1"/>
  <c r="Z141" i="5"/>
  <c r="O142" i="5"/>
  <c r="K142" i="5"/>
  <c r="AG142" i="5"/>
  <c r="AF142" i="5"/>
  <c r="E142" i="5"/>
  <c r="T142" i="5"/>
  <c r="U142" i="5"/>
  <c r="AA142" i="5"/>
  <c r="AI13" i="4"/>
  <c r="F142" i="5"/>
  <c r="H142" i="5"/>
  <c r="I142" i="5"/>
  <c r="Z142" i="5"/>
  <c r="AF143" i="5"/>
  <c r="T143" i="5"/>
  <c r="U143" i="5"/>
  <c r="AI292" i="4"/>
  <c r="F143" i="5"/>
  <c r="H143" i="5"/>
  <c r="I143" i="5"/>
  <c r="L143" i="5"/>
  <c r="N143" i="5"/>
  <c r="O143" i="5" s="1"/>
  <c r="Z143" i="5"/>
  <c r="O144" i="5"/>
  <c r="AG144" i="5"/>
  <c r="AF144" i="5"/>
  <c r="I144" i="5"/>
  <c r="AA144" i="5"/>
  <c r="AI294" i="4"/>
  <c r="Z144" i="5"/>
  <c r="AG145" i="5"/>
  <c r="AF145" i="5"/>
  <c r="B123" i="4"/>
  <c r="I145" i="5"/>
  <c r="T145" i="5"/>
  <c r="AI123" i="4"/>
  <c r="L145" i="5"/>
  <c r="N145" i="5"/>
  <c r="O145" i="5" s="1"/>
  <c r="Z145" i="5"/>
  <c r="AG146" i="5"/>
  <c r="AF146" i="5"/>
  <c r="B242" i="4"/>
  <c r="I146" i="5"/>
  <c r="T146" i="5"/>
  <c r="AI242" i="4"/>
  <c r="L146" i="5"/>
  <c r="N146" i="5"/>
  <c r="O146" i="5"/>
  <c r="Z146" i="5"/>
  <c r="AG147" i="5"/>
  <c r="AF147" i="5"/>
  <c r="T147" i="5"/>
  <c r="U147" i="5"/>
  <c r="AA147" i="5"/>
  <c r="AI81" i="4"/>
  <c r="F147" i="5"/>
  <c r="H147" i="5"/>
  <c r="I147" i="5" s="1"/>
  <c r="AD82" i="2" s="1"/>
  <c r="Z147" i="5"/>
  <c r="O148" i="5"/>
  <c r="K148" i="5"/>
  <c r="AG148" i="5"/>
  <c r="AF148" i="5"/>
  <c r="B65" i="4"/>
  <c r="I148" i="5"/>
  <c r="T148" i="5"/>
  <c r="U148" i="5"/>
  <c r="AI65" i="4"/>
  <c r="Z148" i="5"/>
  <c r="B34" i="4"/>
  <c r="AG149" i="5"/>
  <c r="AF149" i="5"/>
  <c r="K149" i="5"/>
  <c r="U149" i="5"/>
  <c r="AI34" i="4"/>
  <c r="F149" i="5"/>
  <c r="H149" i="5"/>
  <c r="I149" i="5" s="1"/>
  <c r="L149" i="5"/>
  <c r="N149" i="5"/>
  <c r="O149" i="5"/>
  <c r="R149" i="5"/>
  <c r="T149" i="5"/>
  <c r="AG150" i="5"/>
  <c r="AF150" i="5"/>
  <c r="B186" i="4"/>
  <c r="I150" i="5"/>
  <c r="T150" i="5"/>
  <c r="AA150" i="5"/>
  <c r="AI186" i="4"/>
  <c r="L150" i="5"/>
  <c r="N150" i="5"/>
  <c r="O150" i="5" s="1"/>
  <c r="Z150" i="5"/>
  <c r="O151" i="5"/>
  <c r="B187" i="4"/>
  <c r="AG151" i="5"/>
  <c r="AF151" i="5"/>
  <c r="T151" i="5"/>
  <c r="U151" i="5"/>
  <c r="AI187" i="4"/>
  <c r="F151" i="5"/>
  <c r="H151" i="5"/>
  <c r="I151" i="5" s="1"/>
  <c r="Z151" i="5"/>
  <c r="B188" i="4"/>
  <c r="AG152" i="5"/>
  <c r="AF152" i="5"/>
  <c r="I152" i="5"/>
  <c r="K152" i="5"/>
  <c r="T152" i="5"/>
  <c r="AI188" i="4"/>
  <c r="L152" i="5"/>
  <c r="N152" i="5"/>
  <c r="O152" i="5" s="1"/>
  <c r="O153" i="5"/>
  <c r="B300" i="4"/>
  <c r="AG153" i="5"/>
  <c r="AF153" i="5"/>
  <c r="T153" i="5"/>
  <c r="U153" i="5"/>
  <c r="AI300" i="4"/>
  <c r="F153" i="5"/>
  <c r="H153" i="5"/>
  <c r="I153" i="5"/>
  <c r="Z153" i="5"/>
  <c r="AG154" i="5"/>
  <c r="AF154" i="5"/>
  <c r="B299" i="4"/>
  <c r="T154" i="5"/>
  <c r="AA154" i="5"/>
  <c r="AI299" i="4"/>
  <c r="F154" i="5"/>
  <c r="H154" i="5"/>
  <c r="I154" i="5" s="1"/>
  <c r="L154" i="5"/>
  <c r="N154" i="5"/>
  <c r="O154" i="5"/>
  <c r="Z154" i="5"/>
  <c r="AG155" i="5"/>
  <c r="AF155" i="5"/>
  <c r="B144" i="4"/>
  <c r="I155" i="5"/>
  <c r="T155" i="5"/>
  <c r="AI144" i="4"/>
  <c r="L155" i="5"/>
  <c r="N155" i="5"/>
  <c r="O155" i="5" s="1"/>
  <c r="Z155" i="5"/>
  <c r="AA156" i="5"/>
  <c r="B296" i="4"/>
  <c r="O156" i="5"/>
  <c r="AG156" i="5"/>
  <c r="AF156" i="5"/>
  <c r="T156" i="5"/>
  <c r="AI296" i="4"/>
  <c r="F156" i="5"/>
  <c r="H156" i="5"/>
  <c r="I156" i="5" s="1"/>
  <c r="AG157" i="5"/>
  <c r="AF157" i="5"/>
  <c r="B252" i="4"/>
  <c r="T157" i="5"/>
  <c r="U157" i="5"/>
  <c r="AI252" i="4"/>
  <c r="F157" i="5"/>
  <c r="H157" i="5"/>
  <c r="I157" i="5"/>
  <c r="L157" i="5"/>
  <c r="N157" i="5"/>
  <c r="O157" i="5"/>
  <c r="Z157" i="5"/>
  <c r="AG158" i="5"/>
  <c r="AF158" i="5"/>
  <c r="B82" i="4"/>
  <c r="I158" i="5"/>
  <c r="T158" i="5"/>
  <c r="AI82" i="4"/>
  <c r="L158" i="5"/>
  <c r="N158" i="5"/>
  <c r="O158" i="5"/>
  <c r="Z158" i="5"/>
  <c r="AG159" i="5"/>
  <c r="AF159" i="5"/>
  <c r="B83" i="4"/>
  <c r="I159" i="5"/>
  <c r="T159" i="5"/>
  <c r="AI83" i="4"/>
  <c r="L159" i="5"/>
  <c r="N159" i="5"/>
  <c r="O159" i="5"/>
  <c r="Z159" i="5"/>
  <c r="AG160" i="5"/>
  <c r="AF160" i="5"/>
  <c r="B84" i="4"/>
  <c r="I160" i="5"/>
  <c r="T160" i="5"/>
  <c r="AI84" i="4"/>
  <c r="L160" i="5"/>
  <c r="N160" i="5"/>
  <c r="O160" i="5" s="1"/>
  <c r="Z160" i="5"/>
  <c r="AG161" i="5"/>
  <c r="AF161" i="5"/>
  <c r="B115" i="4"/>
  <c r="AA161" i="5"/>
  <c r="AI115" i="4"/>
  <c r="F161" i="5"/>
  <c r="H161" i="5"/>
  <c r="I161" i="5" s="1"/>
  <c r="L161" i="5"/>
  <c r="N161" i="5"/>
  <c r="O161" i="5" s="1"/>
  <c r="Z161" i="5"/>
  <c r="AG162" i="5"/>
  <c r="AF162" i="5"/>
  <c r="B126" i="4"/>
  <c r="T162" i="5"/>
  <c r="U162" i="5"/>
  <c r="AA162" i="5"/>
  <c r="AI126" i="4"/>
  <c r="F162" i="5"/>
  <c r="H162" i="5"/>
  <c r="I162" i="5" s="1"/>
  <c r="L162" i="5"/>
  <c r="N162" i="5"/>
  <c r="O162" i="5" s="1"/>
  <c r="Z162" i="5"/>
  <c r="AG163" i="5"/>
  <c r="AF163" i="5"/>
  <c r="B98" i="4"/>
  <c r="T163" i="5"/>
  <c r="AI98" i="4"/>
  <c r="F163" i="5"/>
  <c r="H163" i="5"/>
  <c r="I163" i="5" s="1"/>
  <c r="L163" i="5"/>
  <c r="N163" i="5"/>
  <c r="O163" i="5"/>
  <c r="Z163" i="5"/>
  <c r="O164" i="5"/>
  <c r="K164" i="5"/>
  <c r="AG164" i="5"/>
  <c r="AF164" i="5"/>
  <c r="B67" i="4"/>
  <c r="I164" i="5"/>
  <c r="T164" i="5"/>
  <c r="AI67" i="4"/>
  <c r="Z164" i="5"/>
  <c r="O165" i="5"/>
  <c r="B68" i="4"/>
  <c r="AG165" i="5"/>
  <c r="AF165" i="5"/>
  <c r="I165" i="5"/>
  <c r="L165" i="5"/>
  <c r="T165" i="5"/>
  <c r="AI68" i="4"/>
  <c r="Z165" i="5"/>
  <c r="O166" i="5"/>
  <c r="B99" i="4"/>
  <c r="AG166" i="5"/>
  <c r="AF166" i="5"/>
  <c r="I166" i="5"/>
  <c r="T166" i="5"/>
  <c r="AA166" i="5"/>
  <c r="AI99" i="4"/>
  <c r="AI166" i="5"/>
  <c r="Z166" i="5"/>
  <c r="AG167" i="5"/>
  <c r="AF167" i="5"/>
  <c r="B189" i="4"/>
  <c r="K167" i="5"/>
  <c r="T167" i="5"/>
  <c r="U167" i="5"/>
  <c r="AI189" i="4"/>
  <c r="F167" i="5"/>
  <c r="H167" i="5"/>
  <c r="I167" i="5" s="1"/>
  <c r="L167" i="5"/>
  <c r="N167" i="5"/>
  <c r="O167" i="5"/>
  <c r="Z167" i="5"/>
  <c r="AG168" i="5"/>
  <c r="AF168" i="5"/>
  <c r="B253" i="4"/>
  <c r="K168" i="5"/>
  <c r="T168" i="5"/>
  <c r="U168" i="5"/>
  <c r="AI253" i="4"/>
  <c r="F168" i="5"/>
  <c r="H168" i="5"/>
  <c r="I168" i="5"/>
  <c r="L168" i="5"/>
  <c r="N168" i="5"/>
  <c r="O168" i="5"/>
  <c r="Z168" i="5"/>
  <c r="AG169" i="5"/>
  <c r="AF169" i="5"/>
  <c r="B224" i="4"/>
  <c r="E169" i="5"/>
  <c r="K169" i="5"/>
  <c r="T169" i="5"/>
  <c r="AI224" i="4"/>
  <c r="F169" i="5"/>
  <c r="H169" i="5"/>
  <c r="I169" i="5"/>
  <c r="L169" i="5"/>
  <c r="N169" i="5"/>
  <c r="O169" i="5" s="1"/>
  <c r="Z169" i="5"/>
  <c r="AG170" i="5"/>
  <c r="AF170" i="5"/>
  <c r="B69" i="4"/>
  <c r="T170" i="5"/>
  <c r="AI69" i="4"/>
  <c r="F170" i="5"/>
  <c r="H170" i="5"/>
  <c r="I170" i="5"/>
  <c r="L170" i="5"/>
  <c r="N170" i="5"/>
  <c r="O170" i="5" s="1"/>
  <c r="Z170" i="5"/>
  <c r="F171" i="5"/>
  <c r="H171" i="5"/>
  <c r="I171" i="5" s="1"/>
  <c r="L171" i="5"/>
  <c r="N171" i="5"/>
  <c r="O171" i="5" s="1"/>
  <c r="Z171" i="5"/>
  <c r="AG172" i="5"/>
  <c r="AF172" i="5"/>
  <c r="B70" i="4"/>
  <c r="K172" i="5"/>
  <c r="T172" i="5"/>
  <c r="U172" i="5"/>
  <c r="AA172" i="5"/>
  <c r="AI70" i="4"/>
  <c r="AI172" i="5"/>
  <c r="F172" i="5"/>
  <c r="H172" i="5"/>
  <c r="I172" i="5"/>
  <c r="L172" i="5"/>
  <c r="N172" i="5"/>
  <c r="O172" i="5" s="1"/>
  <c r="Z172" i="5"/>
  <c r="B35" i="4"/>
  <c r="O173" i="5"/>
  <c r="K173" i="5"/>
  <c r="AG173" i="5"/>
  <c r="AF173" i="5"/>
  <c r="I173" i="5"/>
  <c r="T173" i="5"/>
  <c r="AI35" i="4"/>
  <c r="U35" i="4" s="1" a="1"/>
  <c r="U35" i="4" s="1"/>
  <c r="AD173" i="5" s="1"/>
  <c r="B4" i="4"/>
  <c r="O174" i="5"/>
  <c r="AG174" i="5"/>
  <c r="AF174" i="5"/>
  <c r="I174" i="5"/>
  <c r="T174" i="5"/>
  <c r="U174" i="5"/>
  <c r="AI4" i="4"/>
  <c r="T4" i="4" s="1" a="1"/>
  <c r="T4" i="4" s="1"/>
  <c r="AC174" i="5" s="1"/>
  <c r="AA175" i="5"/>
  <c r="O175" i="5"/>
  <c r="K175" i="5"/>
  <c r="AF175" i="5"/>
  <c r="L175" i="5"/>
  <c r="N175" i="5"/>
  <c r="AI6" i="4"/>
  <c r="AD175" i="5"/>
  <c r="F175" i="5"/>
  <c r="R175" i="5"/>
  <c r="T175" i="5"/>
  <c r="H175" i="5"/>
  <c r="I175" i="5"/>
  <c r="AA176" i="5"/>
  <c r="O176" i="5"/>
  <c r="K176" i="5"/>
  <c r="AF176" i="5"/>
  <c r="L176" i="5"/>
  <c r="N176" i="5"/>
  <c r="AI7" i="4"/>
  <c r="AD176" i="5"/>
  <c r="F176" i="5"/>
  <c r="R176" i="5"/>
  <c r="T176" i="5"/>
  <c r="H176" i="5"/>
  <c r="I176" i="5"/>
  <c r="AA177" i="5"/>
  <c r="O177" i="5"/>
  <c r="AF177" i="5"/>
  <c r="L177" i="5"/>
  <c r="T177" i="5"/>
  <c r="AI8" i="4"/>
  <c r="AD177" i="5"/>
  <c r="F177" i="5"/>
  <c r="H177" i="5"/>
  <c r="I177" i="5" s="1"/>
  <c r="AG178" i="5"/>
  <c r="AF178" i="5"/>
  <c r="B145" i="4"/>
  <c r="T178" i="5"/>
  <c r="U178" i="5"/>
  <c r="AI145" i="4"/>
  <c r="F178" i="5"/>
  <c r="L178" i="5"/>
  <c r="N178" i="5"/>
  <c r="O178" i="5" s="1"/>
  <c r="Z178" i="5"/>
  <c r="H178" i="5"/>
  <c r="I178" i="5"/>
  <c r="AG179" i="5"/>
  <c r="AF179" i="5"/>
  <c r="B128" i="4"/>
  <c r="I179" i="5"/>
  <c r="T179" i="5"/>
  <c r="AI128" i="4"/>
  <c r="L179" i="5"/>
  <c r="N179" i="5"/>
  <c r="O179" i="5"/>
  <c r="Z179" i="5"/>
  <c r="B14" i="4"/>
  <c r="C14" i="4" s="1"/>
  <c r="C180" i="5" s="1"/>
  <c r="R15" i="8" s="1"/>
  <c r="O180" i="5"/>
  <c r="K180" i="5"/>
  <c r="AG180" i="5"/>
  <c r="AF180" i="5"/>
  <c r="I180" i="5"/>
  <c r="T180" i="5"/>
  <c r="U180" i="5"/>
  <c r="AI14" i="4"/>
  <c r="AI180" i="5"/>
  <c r="B15" i="4"/>
  <c r="O181" i="5"/>
  <c r="AG181" i="5"/>
  <c r="AF181" i="5"/>
  <c r="I181" i="5"/>
  <c r="T181" i="5"/>
  <c r="U181" i="5"/>
  <c r="AI15" i="4"/>
  <c r="T15" i="4" s="1" a="1"/>
  <c r="T15" i="4" s="1"/>
  <c r="AC181" i="5" s="1"/>
  <c r="B24" i="4"/>
  <c r="C24" i="4" s="1"/>
  <c r="C182" i="5" s="1"/>
  <c r="R203" i="8" s="1"/>
  <c r="O182" i="5"/>
  <c r="AG182" i="5"/>
  <c r="AF182" i="5"/>
  <c r="I182" i="5"/>
  <c r="T182" i="5"/>
  <c r="U182" i="5"/>
  <c r="AI24" i="4"/>
  <c r="AI182" i="5"/>
  <c r="B16" i="4"/>
  <c r="O183" i="5"/>
  <c r="K183" i="5"/>
  <c r="AG183" i="5"/>
  <c r="AF183" i="5"/>
  <c r="I183" i="5"/>
  <c r="T183" i="5"/>
  <c r="U183" i="5"/>
  <c r="AI16" i="4"/>
  <c r="T16" i="4" s="1" a="1"/>
  <c r="T16" i="4" s="1"/>
  <c r="AC183" i="5" s="1"/>
  <c r="B17" i="4"/>
  <c r="O184" i="5"/>
  <c r="K184" i="5"/>
  <c r="AG184" i="5"/>
  <c r="AF184" i="5"/>
  <c r="I184" i="5"/>
  <c r="T184" i="5"/>
  <c r="U184" i="5"/>
  <c r="AI17" i="4"/>
  <c r="T17" i="4" s="1" a="1"/>
  <c r="T17" i="4" s="1"/>
  <c r="AC184" i="5" s="1"/>
  <c r="O185" i="5"/>
  <c r="AF185" i="5"/>
  <c r="C18" i="4"/>
  <c r="C185" i="5" s="1"/>
  <c r="I185" i="5"/>
  <c r="T185" i="5"/>
  <c r="AI18" i="4"/>
  <c r="T18" i="4" s="1" a="1"/>
  <c r="T18" i="4" s="1"/>
  <c r="AC185" i="5" s="1"/>
  <c r="AI185" i="5"/>
  <c r="O186" i="5"/>
  <c r="K186" i="5"/>
  <c r="AF186" i="5"/>
  <c r="I186" i="5"/>
  <c r="T186" i="5"/>
  <c r="U186" i="5"/>
  <c r="AI19" i="4"/>
  <c r="T19" i="4" s="1" a="1"/>
  <c r="T19" i="4" s="1"/>
  <c r="AC186" i="5" s="1"/>
  <c r="O187" i="5"/>
  <c r="K187" i="5"/>
  <c r="AF187" i="5"/>
  <c r="I187" i="5"/>
  <c r="T187" i="5"/>
  <c r="U187" i="5"/>
  <c r="AI20" i="4"/>
  <c r="U20" i="4" s="1" a="1"/>
  <c r="U20" i="4" s="1"/>
  <c r="AD187" i="5" s="1"/>
  <c r="AI187" i="5"/>
  <c r="AA188" i="5"/>
  <c r="O188" i="5"/>
  <c r="K188" i="5"/>
  <c r="AF188" i="5"/>
  <c r="L188" i="5"/>
  <c r="N188" i="5"/>
  <c r="AI9" i="4"/>
  <c r="AD188" i="5"/>
  <c r="R188" i="5"/>
  <c r="T188" i="5"/>
  <c r="F188" i="5"/>
  <c r="H188" i="5"/>
  <c r="I188" i="5" s="1"/>
  <c r="AF189" i="5"/>
  <c r="K189" i="5"/>
  <c r="T189" i="5"/>
  <c r="AI301" i="4"/>
  <c r="F189" i="5"/>
  <c r="H189" i="5"/>
  <c r="I189" i="5"/>
  <c r="L189" i="5"/>
  <c r="N189" i="5"/>
  <c r="O189" i="5"/>
  <c r="Z189" i="5"/>
  <c r="AF190" i="5"/>
  <c r="T190" i="5"/>
  <c r="AI71" i="4"/>
  <c r="F190" i="5"/>
  <c r="H190" i="5"/>
  <c r="I190" i="5" s="1"/>
  <c r="AD70" i="2" s="1"/>
  <c r="L190" i="5"/>
  <c r="N190" i="5"/>
  <c r="O190" i="5"/>
  <c r="AK70" i="2" s="1"/>
  <c r="Z190" i="5"/>
  <c r="AF191" i="5"/>
  <c r="T191" i="5"/>
  <c r="AA191" i="5"/>
  <c r="AI72" i="4"/>
  <c r="F191" i="5"/>
  <c r="H191" i="5"/>
  <c r="I191" i="5" s="1"/>
  <c r="AD71" i="2" s="1"/>
  <c r="L191" i="5"/>
  <c r="N191" i="5"/>
  <c r="O191" i="5" s="1"/>
  <c r="AK71" i="2" s="1"/>
  <c r="Z191" i="5"/>
  <c r="AF192" i="5"/>
  <c r="D73" i="4"/>
  <c r="E192" i="5" s="1"/>
  <c r="T192" i="5"/>
  <c r="AA192" i="5"/>
  <c r="AI73" i="4"/>
  <c r="F192" i="5"/>
  <c r="H192" i="5"/>
  <c r="I192" i="5" s="1"/>
  <c r="L192" i="5"/>
  <c r="N192" i="5"/>
  <c r="O192" i="5" s="1"/>
  <c r="Z192" i="5"/>
  <c r="AG193" i="5"/>
  <c r="AF193" i="5"/>
  <c r="B243" i="4"/>
  <c r="T193" i="5"/>
  <c r="U193" i="5"/>
  <c r="AI243" i="4"/>
  <c r="F193" i="5"/>
  <c r="H193" i="5"/>
  <c r="I193" i="5"/>
  <c r="L193" i="5"/>
  <c r="N193" i="5"/>
  <c r="O193" i="5"/>
  <c r="Z193" i="5"/>
  <c r="AG194" i="5"/>
  <c r="AF194" i="5"/>
  <c r="B254" i="4"/>
  <c r="K194" i="5"/>
  <c r="T194" i="5"/>
  <c r="AI254" i="4"/>
  <c r="F194" i="5"/>
  <c r="H194" i="5"/>
  <c r="I194" i="5" s="1"/>
  <c r="L194" i="5"/>
  <c r="N194" i="5"/>
  <c r="O194" i="5" s="1"/>
  <c r="Z194" i="5"/>
  <c r="AG195" i="5"/>
  <c r="AF195" i="5"/>
  <c r="B255" i="4"/>
  <c r="K195" i="5"/>
  <c r="T195" i="5"/>
  <c r="AI255" i="4"/>
  <c r="F195" i="5"/>
  <c r="H195" i="5"/>
  <c r="I195" i="5"/>
  <c r="L195" i="5"/>
  <c r="N195" i="5"/>
  <c r="O195" i="5"/>
  <c r="Z195" i="5"/>
  <c r="AG196" i="5"/>
  <c r="AF196" i="5"/>
  <c r="AI225" i="4"/>
  <c r="L196" i="5"/>
  <c r="N196" i="5"/>
  <c r="O196" i="5"/>
  <c r="AK72" i="2" s="1"/>
  <c r="Z196" i="5"/>
  <c r="AG197" i="5"/>
  <c r="AF197" i="5"/>
  <c r="AI226" i="4"/>
  <c r="Z197" i="5"/>
  <c r="AG198" i="5"/>
  <c r="AF198" i="5"/>
  <c r="AI264" i="4"/>
  <c r="L198" i="5"/>
  <c r="N198" i="5"/>
  <c r="O198" i="5"/>
  <c r="Z198" i="5"/>
  <c r="AG199" i="5"/>
  <c r="AF199" i="5"/>
  <c r="B131" i="4"/>
  <c r="E199" i="5"/>
  <c r="F199" i="5"/>
  <c r="H199" i="5"/>
  <c r="I199" i="5"/>
  <c r="T199" i="5"/>
  <c r="AI131" i="4"/>
  <c r="L199" i="5"/>
  <c r="N199" i="5"/>
  <c r="O199" i="5" s="1"/>
  <c r="Z199" i="5"/>
  <c r="AG200" i="5"/>
  <c r="AF200" i="5"/>
  <c r="B148" i="4"/>
  <c r="T200" i="5"/>
  <c r="AI148" i="4"/>
  <c r="L200" i="5"/>
  <c r="N200" i="5"/>
  <c r="O200" i="5"/>
  <c r="F200" i="5"/>
  <c r="H200" i="5"/>
  <c r="I200" i="5" s="1"/>
  <c r="Z200" i="5"/>
  <c r="AF201" i="5"/>
  <c r="K201" i="5"/>
  <c r="AI149" i="4"/>
  <c r="L201" i="5"/>
  <c r="N201" i="5"/>
  <c r="O201" i="5"/>
  <c r="F201" i="5"/>
  <c r="H201" i="5"/>
  <c r="I201" i="5"/>
  <c r="Z201" i="5"/>
  <c r="AF202" i="5"/>
  <c r="K202" i="5"/>
  <c r="AI150" i="4"/>
  <c r="F202" i="5"/>
  <c r="H202" i="5"/>
  <c r="I202" i="5" s="1"/>
  <c r="Z202" i="5"/>
  <c r="AF203" i="5"/>
  <c r="K203" i="5"/>
  <c r="AI227" i="4"/>
  <c r="L203" i="5"/>
  <c r="N203" i="5"/>
  <c r="O203" i="5" s="1"/>
  <c r="F203" i="5"/>
  <c r="H203" i="5"/>
  <c r="I203" i="5"/>
  <c r="Z203" i="5"/>
  <c r="AF204" i="5"/>
  <c r="K204" i="5"/>
  <c r="T204" i="5"/>
  <c r="U204" i="5"/>
  <c r="AI151" i="4"/>
  <c r="L204" i="5"/>
  <c r="N204" i="5"/>
  <c r="O204" i="5" s="1"/>
  <c r="F204" i="5"/>
  <c r="H204" i="5"/>
  <c r="I204" i="5" s="1"/>
  <c r="Z204" i="5"/>
  <c r="AF205" i="5"/>
  <c r="K205" i="5"/>
  <c r="AI152" i="4"/>
  <c r="F205" i="5"/>
  <c r="H205" i="5"/>
  <c r="I205" i="5"/>
  <c r="Z205" i="5"/>
  <c r="AF206" i="5"/>
  <c r="K206" i="5"/>
  <c r="AI153" i="4"/>
  <c r="L206" i="5"/>
  <c r="N206" i="5"/>
  <c r="O206" i="5" s="1"/>
  <c r="F206" i="5"/>
  <c r="H206" i="5"/>
  <c r="I206" i="5" s="1"/>
  <c r="Z206" i="5"/>
  <c r="AG207" i="5"/>
  <c r="AF207" i="5"/>
  <c r="B154" i="4"/>
  <c r="F207" i="5"/>
  <c r="H207" i="5"/>
  <c r="I207" i="5"/>
  <c r="Z207" i="5"/>
  <c r="AG208" i="5"/>
  <c r="AF208" i="5"/>
  <c r="AI74" i="4"/>
  <c r="F208" i="5"/>
  <c r="H208" i="5"/>
  <c r="I208" i="5"/>
  <c r="L208" i="5"/>
  <c r="N208" i="5"/>
  <c r="O208" i="5" s="1"/>
  <c r="Z208" i="5"/>
  <c r="AG209" i="5"/>
  <c r="AF209" i="5"/>
  <c r="I209" i="5"/>
  <c r="AI155" i="4"/>
  <c r="L209" i="5"/>
  <c r="N209" i="5"/>
  <c r="O209" i="5" s="1"/>
  <c r="Z209" i="5"/>
  <c r="AG210" i="5"/>
  <c r="AF210" i="5"/>
  <c r="B193" i="4"/>
  <c r="I210" i="5"/>
  <c r="AC210" i="5"/>
  <c r="AD210" i="5"/>
  <c r="L210" i="5"/>
  <c r="N210" i="5"/>
  <c r="O210" i="5" s="1"/>
  <c r="Z210" i="5"/>
  <c r="AG211" i="5"/>
  <c r="AF211" i="5"/>
  <c r="I211" i="5"/>
  <c r="AI156" i="4"/>
  <c r="L211" i="5"/>
  <c r="N211" i="5"/>
  <c r="O211" i="5"/>
  <c r="Z211" i="5"/>
  <c r="AG212" i="5"/>
  <c r="AF212" i="5"/>
  <c r="I212" i="5"/>
  <c r="AI157" i="4"/>
  <c r="L212" i="5"/>
  <c r="N212" i="5"/>
  <c r="O212" i="5"/>
  <c r="Z212" i="5"/>
  <c r="AF213" i="5"/>
  <c r="I213" i="5"/>
  <c r="T213" i="5"/>
  <c r="AI256" i="4"/>
  <c r="L213" i="5"/>
  <c r="N213" i="5"/>
  <c r="O213" i="5" s="1"/>
  <c r="Z213" i="5"/>
  <c r="AG214" i="5"/>
  <c r="AF214" i="5"/>
  <c r="B288" i="4"/>
  <c r="I214" i="5"/>
  <c r="T214" i="5"/>
  <c r="AI288" i="4"/>
  <c r="L214" i="5"/>
  <c r="N214" i="5"/>
  <c r="O214" i="5"/>
  <c r="Z214" i="5"/>
  <c r="O215" i="5"/>
  <c r="B159" i="4"/>
  <c r="AG215" i="5"/>
  <c r="AF215" i="5"/>
  <c r="I215" i="5"/>
  <c r="AI159" i="4"/>
  <c r="Z215" i="5"/>
  <c r="O216" i="5"/>
  <c r="B160" i="4"/>
  <c r="AG216" i="5"/>
  <c r="AF216" i="5"/>
  <c r="I216" i="5"/>
  <c r="T216" i="5"/>
  <c r="AI160" i="4"/>
  <c r="Z216" i="5"/>
  <c r="O217" i="5"/>
  <c r="B161" i="4"/>
  <c r="AG217" i="5"/>
  <c r="AF217" i="5"/>
  <c r="I217" i="5"/>
  <c r="T217" i="5"/>
  <c r="AI161" i="4"/>
  <c r="Z217" i="5"/>
  <c r="AG218" i="5"/>
  <c r="AF218" i="5"/>
  <c r="B228" i="4"/>
  <c r="AI228" i="4"/>
  <c r="F218" i="5"/>
  <c r="H218" i="5"/>
  <c r="I218" i="5" s="1"/>
  <c r="L218" i="5"/>
  <c r="N218" i="5"/>
  <c r="O218" i="5"/>
  <c r="Z218" i="5"/>
  <c r="AF219" i="5"/>
  <c r="I219" i="5"/>
  <c r="T219" i="5"/>
  <c r="AA219" i="5"/>
  <c r="AI244" i="4"/>
  <c r="T244" i="4" s="1" a="1"/>
  <c r="T244" i="4" s="1"/>
  <c r="AC219" i="5" s="1"/>
  <c r="L219" i="5"/>
  <c r="N219" i="5"/>
  <c r="O219" i="5"/>
  <c r="Z219" i="5"/>
  <c r="AF220" i="5"/>
  <c r="I220" i="5"/>
  <c r="T220" i="5"/>
  <c r="AI230" i="4"/>
  <c r="T230" i="4" s="1" a="1"/>
  <c r="T230" i="4" s="1"/>
  <c r="AC220" i="5" s="1"/>
  <c r="AL233" i="8" s="1"/>
  <c r="L220" i="5"/>
  <c r="N220" i="5"/>
  <c r="O220" i="5"/>
  <c r="Z220" i="5"/>
  <c r="O221" i="5"/>
  <c r="B231" i="4"/>
  <c r="AG221" i="5"/>
  <c r="AF221" i="5"/>
  <c r="I221" i="5"/>
  <c r="T221" i="5"/>
  <c r="AI231" i="4"/>
  <c r="Z221" i="5"/>
  <c r="AG222" i="5"/>
  <c r="AF222" i="5"/>
  <c r="T222" i="5"/>
  <c r="AI282" i="4"/>
  <c r="Z222" i="5"/>
  <c r="AG223" i="5"/>
  <c r="AF223" i="5"/>
  <c r="B216" i="4"/>
  <c r="E223" i="5"/>
  <c r="K223" i="5"/>
  <c r="T223" i="5"/>
  <c r="X223" i="5"/>
  <c r="AA223" i="5"/>
  <c r="AI216" i="4"/>
  <c r="F223" i="5"/>
  <c r="H223" i="5"/>
  <c r="I223" i="5" s="1"/>
  <c r="L223" i="5"/>
  <c r="N223" i="5"/>
  <c r="O223" i="5" s="1"/>
  <c r="Z223" i="5"/>
  <c r="O224" i="5"/>
  <c r="B85" i="4"/>
  <c r="AG224" i="5"/>
  <c r="AF224" i="5"/>
  <c r="T224" i="5"/>
  <c r="AI237" i="8" s="1"/>
  <c r="AA224" i="5"/>
  <c r="AI85" i="4"/>
  <c r="F224" i="5"/>
  <c r="H224" i="5"/>
  <c r="I224" i="5"/>
  <c r="Z224" i="5"/>
  <c r="AG225" i="5"/>
  <c r="AF225" i="5"/>
  <c r="T225" i="5"/>
  <c r="AI271" i="4"/>
  <c r="X225" i="5"/>
  <c r="Z225" i="5"/>
  <c r="AF226" i="5"/>
  <c r="U226" i="5"/>
  <c r="AI133" i="4"/>
  <c r="AG227" i="5"/>
  <c r="AF227" i="5"/>
  <c r="B217" i="4"/>
  <c r="E227" i="5"/>
  <c r="T227" i="5"/>
  <c r="X227" i="5"/>
  <c r="AA227" i="5"/>
  <c r="AI217" i="4"/>
  <c r="AI227" i="5"/>
  <c r="AJ227" i="5"/>
  <c r="F227" i="5"/>
  <c r="H227" i="5"/>
  <c r="I227" i="5" s="1"/>
  <c r="L227" i="5"/>
  <c r="N227" i="5"/>
  <c r="O227" i="5" s="1"/>
  <c r="Z227" i="5"/>
  <c r="O228" i="5"/>
  <c r="K228" i="5"/>
  <c r="AG228" i="5"/>
  <c r="AF228" i="5"/>
  <c r="B195" i="4"/>
  <c r="I228" i="5"/>
  <c r="T24" i="8" s="1"/>
  <c r="T228" i="5"/>
  <c r="AI195" i="4"/>
  <c r="AI228" i="5"/>
  <c r="Z228" i="5"/>
  <c r="AG229" i="5"/>
  <c r="AF229" i="5"/>
  <c r="B245" i="4"/>
  <c r="I229" i="5"/>
  <c r="T229" i="5"/>
  <c r="AI245" i="4"/>
  <c r="L229" i="5"/>
  <c r="N229" i="5"/>
  <c r="O229" i="5"/>
  <c r="Z229" i="5"/>
  <c r="AG230" i="5"/>
  <c r="AF230" i="5"/>
  <c r="U230" i="5"/>
  <c r="AI246" i="4"/>
  <c r="Z230" i="5"/>
  <c r="AG231" i="5"/>
  <c r="AF231" i="5"/>
  <c r="B247" i="4"/>
  <c r="T231" i="5"/>
  <c r="AI247" i="4"/>
  <c r="L231" i="5"/>
  <c r="N231" i="5"/>
  <c r="O231" i="5"/>
  <c r="F231" i="5"/>
  <c r="H231" i="5"/>
  <c r="I231" i="5" s="1"/>
  <c r="Z231" i="5"/>
  <c r="AG232" i="5"/>
  <c r="AF232" i="5"/>
  <c r="B117" i="4"/>
  <c r="T232" i="5"/>
  <c r="AI117" i="4"/>
  <c r="L232" i="5"/>
  <c r="N232" i="5"/>
  <c r="O232" i="5"/>
  <c r="F232" i="5"/>
  <c r="H232" i="5"/>
  <c r="I232" i="5" s="1"/>
  <c r="Z232" i="5"/>
  <c r="AF233" i="5"/>
  <c r="K233" i="5"/>
  <c r="T233" i="5"/>
  <c r="U233" i="5"/>
  <c r="AI48" i="4"/>
  <c r="L233" i="5"/>
  <c r="N233" i="5"/>
  <c r="O233" i="5" s="1"/>
  <c r="F233" i="5"/>
  <c r="H233" i="5"/>
  <c r="I233" i="5" s="1"/>
  <c r="AG234" i="5"/>
  <c r="AF234" i="5"/>
  <c r="B197" i="4"/>
  <c r="K234" i="5"/>
  <c r="T234" i="5"/>
  <c r="U234" i="5"/>
  <c r="AI197" i="4"/>
  <c r="F234" i="5"/>
  <c r="H234" i="5"/>
  <c r="I234" i="5"/>
  <c r="L234" i="5"/>
  <c r="N234" i="5"/>
  <c r="O234" i="5" s="1"/>
  <c r="Z234" i="5"/>
  <c r="AF235" i="5"/>
  <c r="K235" i="5"/>
  <c r="T235" i="5"/>
  <c r="U235" i="5"/>
  <c r="AI198" i="4"/>
  <c r="F235" i="5"/>
  <c r="H235" i="5"/>
  <c r="I235" i="5"/>
  <c r="L235" i="5"/>
  <c r="N235" i="5"/>
  <c r="O235" i="5"/>
  <c r="Z235" i="5"/>
  <c r="AF236" i="5"/>
  <c r="K236" i="5"/>
  <c r="T236" i="5"/>
  <c r="U236" i="5"/>
  <c r="AI118" i="4"/>
  <c r="F236" i="5"/>
  <c r="H236" i="5"/>
  <c r="I236" i="5" s="1"/>
  <c r="L236" i="5"/>
  <c r="N236" i="5"/>
  <c r="O236" i="5" s="1"/>
  <c r="Z236" i="5"/>
  <c r="AG237" i="5"/>
  <c r="AF237" i="5"/>
  <c r="B162" i="4"/>
  <c r="K237" i="5"/>
  <c r="T237" i="5"/>
  <c r="U237" i="5"/>
  <c r="AI162" i="4"/>
  <c r="F237" i="5"/>
  <c r="H237" i="5"/>
  <c r="I237" i="5" s="1"/>
  <c r="L237" i="5"/>
  <c r="N237" i="5"/>
  <c r="O237" i="5"/>
  <c r="Z237" i="5"/>
  <c r="AF238" i="5"/>
  <c r="K238" i="5"/>
  <c r="T238" i="5"/>
  <c r="U238" i="5"/>
  <c r="AI100" i="4"/>
  <c r="F238" i="5"/>
  <c r="H238" i="5"/>
  <c r="I238" i="5"/>
  <c r="L238" i="5"/>
  <c r="N238" i="5"/>
  <c r="O238" i="5" s="1"/>
  <c r="Z238" i="5"/>
  <c r="AG239" i="5"/>
  <c r="AF239" i="5"/>
  <c r="I239" i="5"/>
  <c r="K239" i="5"/>
  <c r="T239" i="5"/>
  <c r="L239" i="5"/>
  <c r="N239" i="5"/>
  <c r="O239" i="5"/>
  <c r="Z239" i="5"/>
  <c r="AG241" i="5"/>
  <c r="AF241" i="5"/>
  <c r="T241" i="5"/>
  <c r="AI119" i="4"/>
  <c r="X241" i="5"/>
  <c r="Z241" i="5"/>
  <c r="AG242" i="5"/>
  <c r="AF242" i="5"/>
  <c r="B218" i="4"/>
  <c r="T242" i="5"/>
  <c r="U242" i="5"/>
  <c r="AA242" i="5"/>
  <c r="AI218" i="4"/>
  <c r="F242" i="5"/>
  <c r="H242" i="5"/>
  <c r="I242" i="5"/>
  <c r="L242" i="5"/>
  <c r="N242" i="5"/>
  <c r="O242" i="5" s="1"/>
  <c r="Z242" i="5"/>
  <c r="AG243" i="5"/>
  <c r="AF243" i="5"/>
  <c r="B199" i="4"/>
  <c r="T243" i="5"/>
  <c r="AA243" i="5"/>
  <c r="AI199" i="4"/>
  <c r="AI243" i="5"/>
  <c r="F243" i="5"/>
  <c r="H243" i="5"/>
  <c r="I243" i="5" s="1"/>
  <c r="L243" i="5"/>
  <c r="N243" i="5"/>
  <c r="O243" i="5" s="1"/>
  <c r="Z243" i="5"/>
  <c r="AG244" i="5"/>
  <c r="AF244" i="5"/>
  <c r="B200" i="4"/>
  <c r="T244" i="5"/>
  <c r="AA244" i="5"/>
  <c r="AI200" i="4"/>
  <c r="AI244" i="5"/>
  <c r="F244" i="5"/>
  <c r="H244" i="5"/>
  <c r="I244" i="5"/>
  <c r="L244" i="5"/>
  <c r="N244" i="5"/>
  <c r="O244" i="5" s="1"/>
  <c r="Z244" i="5"/>
  <c r="AG245" i="5"/>
  <c r="AF245" i="5"/>
  <c r="B165" i="4"/>
  <c r="T245" i="5"/>
  <c r="U245" i="5"/>
  <c r="AA245" i="5"/>
  <c r="AI165" i="4"/>
  <c r="F245" i="5"/>
  <c r="H245" i="5"/>
  <c r="I245" i="5" s="1"/>
  <c r="L245" i="5"/>
  <c r="N245" i="5"/>
  <c r="O245" i="5" s="1"/>
  <c r="Z245" i="5"/>
  <c r="AG246" i="5"/>
  <c r="AF246" i="5"/>
  <c r="B166" i="4"/>
  <c r="T246" i="5"/>
  <c r="U246" i="5"/>
  <c r="AA246" i="5"/>
  <c r="AI166" i="4"/>
  <c r="F246" i="5"/>
  <c r="H246" i="5"/>
  <c r="I246" i="5" s="1"/>
  <c r="L246" i="5"/>
  <c r="N246" i="5"/>
  <c r="O246" i="5" s="1"/>
  <c r="Z246" i="5"/>
  <c r="AG247" i="5"/>
  <c r="AF247" i="5"/>
  <c r="B167" i="4"/>
  <c r="T247" i="5"/>
  <c r="U247" i="5"/>
  <c r="AA247" i="5"/>
  <c r="AI167" i="4"/>
  <c r="F247" i="5"/>
  <c r="H247" i="5"/>
  <c r="I247" i="5" s="1"/>
  <c r="L247" i="5"/>
  <c r="N247" i="5"/>
  <c r="O247" i="5"/>
  <c r="Z247" i="5"/>
  <c r="AG248" i="5"/>
  <c r="AF248" i="5"/>
  <c r="T248" i="5"/>
  <c r="U248" i="5"/>
  <c r="AA248" i="5"/>
  <c r="AI168" i="4"/>
  <c r="F248" i="5"/>
  <c r="H248" i="5"/>
  <c r="I248" i="5"/>
  <c r="L248" i="5"/>
  <c r="N248" i="5"/>
  <c r="O248" i="5"/>
  <c r="Z248" i="5"/>
  <c r="AG249" i="5"/>
  <c r="AF249" i="5"/>
  <c r="B201" i="4"/>
  <c r="T249" i="5"/>
  <c r="AI201" i="4"/>
  <c r="F249" i="5"/>
  <c r="H249" i="5"/>
  <c r="I249" i="5" s="1"/>
  <c r="L249" i="5"/>
  <c r="N249" i="5"/>
  <c r="O249" i="5"/>
  <c r="Z249" i="5"/>
  <c r="AG250" i="5"/>
  <c r="AF250" i="5"/>
  <c r="B75" i="4"/>
  <c r="T250" i="5"/>
  <c r="AI75" i="4"/>
  <c r="F250" i="5"/>
  <c r="H250" i="5"/>
  <c r="I250" i="5" s="1"/>
  <c r="L250" i="5"/>
  <c r="N250" i="5"/>
  <c r="O250" i="5"/>
  <c r="Z250" i="5"/>
  <c r="AG251" i="5"/>
  <c r="AF251" i="5"/>
  <c r="B204" i="4"/>
  <c r="K251" i="5"/>
  <c r="T251" i="5"/>
  <c r="AI204" i="4"/>
  <c r="F251" i="5"/>
  <c r="H251" i="5"/>
  <c r="I251" i="5"/>
  <c r="L251" i="5"/>
  <c r="N251" i="5"/>
  <c r="O251" i="5" s="1"/>
  <c r="Z251" i="5"/>
  <c r="AG252" i="5"/>
  <c r="AF252" i="5"/>
  <c r="B25" i="4"/>
  <c r="K252" i="5"/>
  <c r="T252" i="5"/>
  <c r="U252" i="5"/>
  <c r="AA252" i="5"/>
  <c r="AI25" i="4"/>
  <c r="F252" i="5"/>
  <c r="H252" i="5"/>
  <c r="I252" i="5"/>
  <c r="L252" i="5"/>
  <c r="N252" i="5"/>
  <c r="O252" i="5"/>
  <c r="Z252" i="5"/>
  <c r="O253" i="5"/>
  <c r="K253" i="5"/>
  <c r="AG253" i="5"/>
  <c r="AF253" i="5"/>
  <c r="B235" i="4"/>
  <c r="T253" i="5"/>
  <c r="U253" i="5"/>
  <c r="AI235" i="4"/>
  <c r="T235" i="4" s="1" a="1"/>
  <c r="T235" i="4" s="1"/>
  <c r="AC253" i="5" s="1"/>
  <c r="F253" i="5"/>
  <c r="H253" i="5"/>
  <c r="I253" i="5"/>
  <c r="Z253" i="5"/>
  <c r="AG254" i="5"/>
  <c r="AF254" i="5"/>
  <c r="U254" i="5"/>
  <c r="AI10" i="4"/>
  <c r="Z254" i="5"/>
  <c r="O255" i="5"/>
  <c r="B11" i="4"/>
  <c r="AG255" i="5"/>
  <c r="AF255" i="5"/>
  <c r="T255" i="5"/>
  <c r="AA255" i="5"/>
  <c r="AI11" i="4"/>
  <c r="F255" i="5"/>
  <c r="H255" i="5"/>
  <c r="I255" i="5"/>
  <c r="Z255" i="5"/>
  <c r="AG256" i="5"/>
  <c r="AF256" i="5"/>
  <c r="B116" i="4"/>
  <c r="T256" i="5"/>
  <c r="W256" i="5"/>
  <c r="AA256" i="5"/>
  <c r="AI116" i="4"/>
  <c r="F256" i="5"/>
  <c r="H256" i="5"/>
  <c r="I256" i="5"/>
  <c r="L256" i="5"/>
  <c r="N256" i="5"/>
  <c r="O256" i="5" s="1"/>
  <c r="Z256" i="5"/>
  <c r="AG257" i="5"/>
  <c r="AF257" i="5"/>
  <c r="B57" i="4"/>
  <c r="K257" i="5"/>
  <c r="T257" i="5"/>
  <c r="U257" i="5"/>
  <c r="W257" i="5"/>
  <c r="AA257" i="5"/>
  <c r="AI57" i="4"/>
  <c r="F257" i="5"/>
  <c r="H257" i="5"/>
  <c r="I257" i="5" s="1"/>
  <c r="L257" i="5"/>
  <c r="N257" i="5"/>
  <c r="O257" i="5" s="1"/>
  <c r="Z257" i="5"/>
  <c r="AG258" i="5"/>
  <c r="AF258" i="5"/>
  <c r="B158" i="4"/>
  <c r="T258" i="5"/>
  <c r="AI158" i="4"/>
  <c r="F258" i="5"/>
  <c r="H258" i="5"/>
  <c r="I258" i="5"/>
  <c r="L258" i="5"/>
  <c r="N258" i="5"/>
  <c r="O258" i="5" s="1"/>
  <c r="Z258" i="5"/>
  <c r="AG259" i="5"/>
  <c r="AF259" i="5"/>
  <c r="B209" i="4"/>
  <c r="K259" i="5"/>
  <c r="T259" i="5"/>
  <c r="U259" i="5"/>
  <c r="AI209" i="4"/>
  <c r="F259" i="5"/>
  <c r="H259" i="5"/>
  <c r="I259" i="5" s="1"/>
  <c r="L259" i="5"/>
  <c r="N259" i="5"/>
  <c r="O259" i="5" s="1"/>
  <c r="Z259" i="5"/>
  <c r="AG260" i="5"/>
  <c r="AF260" i="5"/>
  <c r="T260" i="5"/>
  <c r="U260" i="5"/>
  <c r="AI137" i="4"/>
  <c r="F260" i="5"/>
  <c r="H260" i="5"/>
  <c r="I260" i="5"/>
  <c r="AD73" i="2" s="1"/>
  <c r="L260" i="5"/>
  <c r="AF73" i="2" s="1"/>
  <c r="N260" i="5"/>
  <c r="O260" i="5" s="1"/>
  <c r="AK73" i="2" s="1"/>
  <c r="Z260" i="5"/>
  <c r="AG261" i="5"/>
  <c r="AF261" i="5"/>
  <c r="B179" i="4"/>
  <c r="K261" i="5"/>
  <c r="F261" i="5"/>
  <c r="H261" i="5"/>
  <c r="I261" i="5"/>
  <c r="L261" i="5"/>
  <c r="N261" i="5"/>
  <c r="O261" i="5" s="1"/>
  <c r="Z261" i="5"/>
  <c r="AF262" i="5"/>
  <c r="K262" i="5"/>
  <c r="T262" i="5"/>
  <c r="U262" i="5"/>
  <c r="AI61" i="4"/>
  <c r="F262" i="5"/>
  <c r="H262" i="5"/>
  <c r="I262" i="5"/>
  <c r="L262" i="5"/>
  <c r="N262" i="5"/>
  <c r="O262" i="5"/>
  <c r="Z262" i="5"/>
  <c r="AG263" i="5"/>
  <c r="AA263" i="5"/>
  <c r="AI12" i="4"/>
  <c r="F263" i="5"/>
  <c r="H263" i="5"/>
  <c r="I263" i="5" s="1"/>
  <c r="L263" i="5"/>
  <c r="N263" i="5"/>
  <c r="O263" i="5"/>
  <c r="Z263" i="5"/>
  <c r="O264" i="5"/>
  <c r="K264" i="5"/>
  <c r="AG264" i="5"/>
  <c r="AF264" i="5"/>
  <c r="B27" i="4"/>
  <c r="I264" i="5"/>
  <c r="U264" i="5"/>
  <c r="AA264" i="5"/>
  <c r="AI27" i="4"/>
  <c r="AI264" i="5"/>
  <c r="Z264" i="5"/>
  <c r="AG265" i="5"/>
  <c r="AF265" i="5"/>
  <c r="B219" i="4"/>
  <c r="O265" i="5"/>
  <c r="AI219" i="4"/>
  <c r="F265" i="5"/>
  <c r="H265" i="5"/>
  <c r="I265" i="5" s="1"/>
  <c r="Z265" i="5"/>
  <c r="AG266" i="5"/>
  <c r="AF266" i="5"/>
  <c r="B102" i="4"/>
  <c r="K266" i="5"/>
  <c r="O266" i="5"/>
  <c r="U266" i="5"/>
  <c r="AI102" i="4"/>
  <c r="F266" i="5"/>
  <c r="H266" i="5"/>
  <c r="I266" i="5"/>
  <c r="Z266" i="5"/>
  <c r="AG267" i="5"/>
  <c r="AF267" i="5"/>
  <c r="B176" i="4"/>
  <c r="K267" i="5"/>
  <c r="U267" i="5"/>
  <c r="AI176" i="4"/>
  <c r="F267" i="5"/>
  <c r="L267" i="5"/>
  <c r="N267" i="5"/>
  <c r="O267" i="5" s="1"/>
  <c r="H267" i="5"/>
  <c r="I267" i="5" s="1"/>
  <c r="Z267" i="5"/>
  <c r="AG268" i="5"/>
  <c r="AF268" i="5"/>
  <c r="B29" i="4"/>
  <c r="I268" i="5"/>
  <c r="AI29" i="4"/>
  <c r="L268" i="5"/>
  <c r="N268" i="5"/>
  <c r="O268" i="5" s="1"/>
  <c r="Z268" i="5"/>
  <c r="O269" i="5"/>
  <c r="AF269" i="5"/>
  <c r="D222" i="4"/>
  <c r="E269" i="5" s="1"/>
  <c r="T269" i="5"/>
  <c r="AI222" i="4"/>
  <c r="F269" i="5"/>
  <c r="H269" i="5"/>
  <c r="I269" i="5"/>
  <c r="Z269" i="5"/>
  <c r="B63" i="4"/>
  <c r="AG270" i="5"/>
  <c r="AF270" i="5"/>
  <c r="I270" i="5"/>
  <c r="K270" i="5"/>
  <c r="T270" i="5"/>
  <c r="U270" i="5"/>
  <c r="AI63" i="4"/>
  <c r="L270" i="5"/>
  <c r="N270" i="5"/>
  <c r="O270" i="5" s="1"/>
  <c r="B183" i="4"/>
  <c r="AG271" i="5"/>
  <c r="AF271" i="5"/>
  <c r="I271" i="5"/>
  <c r="K271" i="5"/>
  <c r="AI183" i="4"/>
  <c r="L271" i="5"/>
  <c r="N271" i="5"/>
  <c r="O271" i="5"/>
  <c r="R271" i="5"/>
  <c r="O272" i="5"/>
  <c r="AF272" i="5"/>
  <c r="I272" i="5"/>
  <c r="AI297" i="4"/>
  <c r="Z272" i="5"/>
  <c r="O273" i="5"/>
  <c r="B95" i="4"/>
  <c r="AG273" i="5"/>
  <c r="AF273" i="5"/>
  <c r="I273" i="5"/>
  <c r="T273" i="5"/>
  <c r="W273" i="5"/>
  <c r="AA273" i="5"/>
  <c r="AI95" i="4"/>
  <c r="Z273" i="5"/>
  <c r="AG274" i="5"/>
  <c r="AF274" i="5"/>
  <c r="B112" i="4"/>
  <c r="T274" i="5"/>
  <c r="AI112" i="4"/>
  <c r="F274" i="5"/>
  <c r="L274" i="5"/>
  <c r="N274" i="5"/>
  <c r="O274" i="5"/>
  <c r="H274" i="5"/>
  <c r="I274" i="5"/>
  <c r="Z274" i="5"/>
  <c r="O275" i="5"/>
  <c r="K275" i="5"/>
  <c r="AF275" i="5"/>
  <c r="L275" i="5"/>
  <c r="N275" i="5"/>
  <c r="U275" i="5"/>
  <c r="X275" i="5"/>
  <c r="AA275" i="5"/>
  <c r="AI30" i="4"/>
  <c r="F275" i="5"/>
  <c r="H275" i="5"/>
  <c r="I275" i="5"/>
  <c r="Z275" i="5"/>
  <c r="AF276" i="5"/>
  <c r="U276" i="5"/>
  <c r="AA276" i="5"/>
  <c r="AI124" i="4"/>
  <c r="F276" i="5"/>
  <c r="L276" i="5"/>
  <c r="N276" i="5"/>
  <c r="O276" i="5" s="1"/>
  <c r="H276" i="5"/>
  <c r="I276" i="5" s="1"/>
  <c r="Z276" i="5"/>
  <c r="O277" i="5"/>
  <c r="B66" i="4"/>
  <c r="AG277" i="5"/>
  <c r="AF277" i="5"/>
  <c r="I277" i="5"/>
  <c r="AA277" i="5"/>
  <c r="AI66" i="4"/>
  <c r="Z277" i="5"/>
  <c r="AF278" i="5"/>
  <c r="U278" i="5"/>
  <c r="AA278" i="5"/>
  <c r="AI125" i="4"/>
  <c r="L278" i="5"/>
  <c r="N278" i="5"/>
  <c r="O278" i="5" s="1"/>
  <c r="F278" i="5"/>
  <c r="H278" i="5"/>
  <c r="I278" i="5"/>
  <c r="Z278" i="5"/>
  <c r="O279" i="5"/>
  <c r="K279" i="5"/>
  <c r="AG279" i="5"/>
  <c r="AF279" i="5"/>
  <c r="AI41" i="4"/>
  <c r="F279" i="5"/>
  <c r="H279" i="5"/>
  <c r="I279" i="5"/>
  <c r="Z279" i="5"/>
  <c r="AG280" i="5"/>
  <c r="AF280" i="5"/>
  <c r="B251" i="4"/>
  <c r="T280" i="5"/>
  <c r="AI251" i="4"/>
  <c r="F280" i="5"/>
  <c r="H280" i="5"/>
  <c r="I280" i="5" s="1"/>
  <c r="L280" i="5"/>
  <c r="N280" i="5"/>
  <c r="O280" i="5"/>
  <c r="Z280" i="5"/>
  <c r="AF281" i="5"/>
  <c r="C190" i="4"/>
  <c r="C281" i="5" s="1"/>
  <c r="T281" i="5"/>
  <c r="AI190" i="4"/>
  <c r="F281" i="5"/>
  <c r="H281" i="5"/>
  <c r="I281" i="5" s="1"/>
  <c r="AD63" i="2" s="1"/>
  <c r="L281" i="5"/>
  <c r="N281" i="5"/>
  <c r="O281" i="5" s="1"/>
  <c r="AK63" i="2" s="1"/>
  <c r="Z281" i="5"/>
  <c r="AF282" i="5"/>
  <c r="C191" i="4"/>
  <c r="C282" i="5" s="1"/>
  <c r="R289" i="8" s="1"/>
  <c r="T282" i="5"/>
  <c r="AI191" i="4"/>
  <c r="F282" i="5"/>
  <c r="H282" i="5"/>
  <c r="I282" i="5"/>
  <c r="L282" i="5"/>
  <c r="N282" i="5"/>
  <c r="O282" i="5"/>
  <c r="Z282" i="5"/>
  <c r="AF283" i="5"/>
  <c r="C129" i="4"/>
  <c r="C283" i="5" s="1"/>
  <c r="T283" i="5"/>
  <c r="AI129" i="4"/>
  <c r="F283" i="5"/>
  <c r="H283" i="5"/>
  <c r="I283" i="5" s="1"/>
  <c r="L283" i="5"/>
  <c r="N283" i="5"/>
  <c r="O283" i="5" s="1"/>
  <c r="Z283" i="5"/>
  <c r="AF284" i="5"/>
  <c r="K284" i="5"/>
  <c r="U284" i="5"/>
  <c r="AI146" i="4"/>
  <c r="F284" i="5"/>
  <c r="H284" i="5"/>
  <c r="I284" i="5" s="1"/>
  <c r="L284" i="5"/>
  <c r="N284" i="5"/>
  <c r="O284" i="5" s="1"/>
  <c r="Z284" i="5"/>
  <c r="AF285" i="5"/>
  <c r="K285" i="5"/>
  <c r="U285" i="5"/>
  <c r="AI192" i="4"/>
  <c r="F285" i="5"/>
  <c r="H285" i="5"/>
  <c r="I285" i="5" s="1"/>
  <c r="L285" i="5"/>
  <c r="N285" i="5"/>
  <c r="O285" i="5" s="1"/>
  <c r="Z285" i="5"/>
  <c r="AG286" i="5"/>
  <c r="AF286" i="5"/>
  <c r="B279" i="4"/>
  <c r="T286" i="5"/>
  <c r="AI279" i="4"/>
  <c r="F286" i="5"/>
  <c r="H286" i="5"/>
  <c r="I286" i="5" s="1"/>
  <c r="L286" i="5"/>
  <c r="N286" i="5"/>
  <c r="O286" i="5" s="1"/>
  <c r="Z286" i="5"/>
  <c r="AG287" i="5"/>
  <c r="AF287" i="5"/>
  <c r="B287" i="4"/>
  <c r="T287" i="5"/>
  <c r="AI287" i="4"/>
  <c r="F287" i="5"/>
  <c r="H287" i="5"/>
  <c r="I287" i="5" s="1"/>
  <c r="L287" i="5"/>
  <c r="N287" i="5"/>
  <c r="O287" i="5" s="1"/>
  <c r="Z287" i="5"/>
  <c r="AF288" i="5"/>
  <c r="T288" i="5"/>
  <c r="AI274" i="4"/>
  <c r="Z288" i="5"/>
  <c r="AF289" i="5"/>
  <c r="T289" i="5"/>
  <c r="AI263" i="4"/>
  <c r="F289" i="5"/>
  <c r="H289" i="5"/>
  <c r="I289" i="5" s="1"/>
  <c r="L289" i="5"/>
  <c r="N289" i="5"/>
  <c r="O289" i="5" s="1"/>
  <c r="Z289" i="5"/>
  <c r="AF290" i="5"/>
  <c r="T290" i="5"/>
  <c r="AI280" i="4"/>
  <c r="F290" i="5"/>
  <c r="H290" i="5"/>
  <c r="I290" i="5"/>
  <c r="L290" i="5"/>
  <c r="N290" i="5"/>
  <c r="O290" i="5"/>
  <c r="Z290" i="5"/>
  <c r="AF291" i="5"/>
  <c r="T291" i="5"/>
  <c r="AI270" i="4"/>
  <c r="F291" i="5"/>
  <c r="H291" i="5"/>
  <c r="I291" i="5" s="1"/>
  <c r="L291" i="5"/>
  <c r="N291" i="5"/>
  <c r="O291" i="5" s="1"/>
  <c r="Z291" i="5"/>
  <c r="B281" i="4"/>
  <c r="AG292" i="5"/>
  <c r="AF292" i="5"/>
  <c r="AI281" i="4"/>
  <c r="F292" i="5"/>
  <c r="H292" i="5"/>
  <c r="I292" i="5" s="1"/>
  <c r="L292" i="5"/>
  <c r="N292" i="5"/>
  <c r="O292" i="5"/>
  <c r="AG293" i="5"/>
  <c r="AF293" i="5"/>
  <c r="B147" i="4"/>
  <c r="AI147" i="4"/>
  <c r="F293" i="5"/>
  <c r="H293" i="5"/>
  <c r="I293" i="5" s="1"/>
  <c r="L293" i="5"/>
  <c r="N293" i="5"/>
  <c r="O293" i="5" s="1"/>
  <c r="Z293" i="5"/>
  <c r="AG294" i="5"/>
  <c r="AF294" i="5"/>
  <c r="B132" i="4"/>
  <c r="K294" i="5"/>
  <c r="T294" i="5"/>
  <c r="U294" i="5"/>
  <c r="AI132" i="4"/>
  <c r="F294" i="5"/>
  <c r="H294" i="5"/>
  <c r="I294" i="5" s="1"/>
  <c r="L294" i="5"/>
  <c r="N294" i="5"/>
  <c r="O294" i="5"/>
  <c r="Z294" i="5"/>
  <c r="AG295" i="5"/>
  <c r="AF295" i="5"/>
  <c r="B257" i="4"/>
  <c r="T295" i="5"/>
  <c r="AI257" i="4"/>
  <c r="F295" i="5"/>
  <c r="H295" i="5"/>
  <c r="I295" i="5"/>
  <c r="L295" i="5"/>
  <c r="N295" i="5"/>
  <c r="O295" i="5"/>
  <c r="Z295" i="5"/>
  <c r="AG296" i="5"/>
  <c r="AF296" i="5"/>
  <c r="B258" i="4"/>
  <c r="T296" i="5"/>
  <c r="AI258" i="4"/>
  <c r="F296" i="5"/>
  <c r="H296" i="5"/>
  <c r="I296" i="5"/>
  <c r="L296" i="5"/>
  <c r="N296" i="5"/>
  <c r="O296" i="5"/>
  <c r="Z296" i="5"/>
  <c r="AG297" i="5"/>
  <c r="AF297" i="5"/>
  <c r="B259" i="4"/>
  <c r="T297" i="5"/>
  <c r="AI259" i="4"/>
  <c r="F297" i="5"/>
  <c r="H297" i="5"/>
  <c r="I297" i="5"/>
  <c r="L297" i="5"/>
  <c r="N297" i="5"/>
  <c r="O297" i="5" s="1"/>
  <c r="Z297" i="5"/>
  <c r="O298" i="5"/>
  <c r="K298" i="5"/>
  <c r="AG298" i="5"/>
  <c r="AF298" i="5"/>
  <c r="AD298" i="5"/>
  <c r="F298" i="5"/>
  <c r="H298" i="5"/>
  <c r="I298" i="5" s="1"/>
  <c r="Z298" i="5"/>
  <c r="O303" i="5"/>
  <c r="K303" i="5"/>
  <c r="AI45" i="2" s="1"/>
  <c r="AG303" i="5"/>
  <c r="F303" i="5"/>
  <c r="H303" i="5"/>
  <c r="I303" i="5" s="1"/>
  <c r="Z303" i="5"/>
  <c r="AG304" i="5"/>
  <c r="F304" i="5"/>
  <c r="H304" i="5"/>
  <c r="I304" i="5"/>
  <c r="AD60" i="2" s="1"/>
  <c r="Z304" i="5"/>
  <c r="O305" i="5"/>
  <c r="K305" i="5"/>
  <c r="AG305" i="5"/>
  <c r="F305" i="5"/>
  <c r="H305" i="5"/>
  <c r="I305" i="5"/>
  <c r="Z305" i="5"/>
  <c r="AG306" i="5"/>
  <c r="F306" i="5"/>
  <c r="H306" i="5"/>
  <c r="I306" i="5" s="1"/>
  <c r="AD80" i="2" s="1"/>
  <c r="Z306" i="5"/>
  <c r="O307" i="5"/>
  <c r="K307" i="5"/>
  <c r="AG307" i="5"/>
  <c r="F307" i="5"/>
  <c r="H307" i="5"/>
  <c r="I307" i="5"/>
  <c r="Z307" i="5"/>
  <c r="O308" i="5"/>
  <c r="K308" i="5"/>
  <c r="AG308" i="5"/>
  <c r="AC308" i="5"/>
  <c r="AD308" i="5"/>
  <c r="F308" i="5"/>
  <c r="H308" i="5"/>
  <c r="I308" i="5"/>
  <c r="Z308" i="5"/>
  <c r="O309" i="5"/>
  <c r="K309" i="5"/>
  <c r="AG309" i="5"/>
  <c r="AD309" i="5"/>
  <c r="F309" i="5"/>
  <c r="H309" i="5"/>
  <c r="I309" i="5"/>
  <c r="Z309" i="5"/>
  <c r="O310" i="5"/>
  <c r="K310" i="5"/>
  <c r="AG310" i="5"/>
  <c r="D311" i="4"/>
  <c r="E310" i="5" s="1"/>
  <c r="AC48" i="2" s="1"/>
  <c r="F310" i="5"/>
  <c r="H310" i="5"/>
  <c r="I310" i="5" s="1"/>
  <c r="Z310" i="5"/>
  <c r="O311" i="5"/>
  <c r="K311" i="5"/>
  <c r="AG311" i="5"/>
  <c r="AD311" i="5"/>
  <c r="F311" i="5"/>
  <c r="H311" i="5"/>
  <c r="I311" i="5"/>
  <c r="Z311" i="5"/>
  <c r="O312" i="5"/>
  <c r="K312" i="5"/>
  <c r="AG312" i="5"/>
  <c r="F312" i="5"/>
  <c r="H312" i="5"/>
  <c r="I312" i="5" s="1"/>
  <c r="Z312" i="5"/>
  <c r="AG313" i="5"/>
  <c r="AC313" i="5"/>
  <c r="AD313" i="5"/>
  <c r="F313" i="5"/>
  <c r="H313" i="5"/>
  <c r="I313" i="5"/>
  <c r="AD79" i="2" s="1"/>
  <c r="Z313" i="5"/>
  <c r="AG314" i="5"/>
  <c r="AC314" i="5"/>
  <c r="AD314" i="5"/>
  <c r="F314" i="5"/>
  <c r="H314" i="5"/>
  <c r="I314" i="5"/>
  <c r="AD62" i="2" s="1"/>
  <c r="Z314" i="5"/>
  <c r="O315" i="5"/>
  <c r="K315" i="5"/>
  <c r="AG315" i="5"/>
  <c r="AC315" i="5"/>
  <c r="AD315" i="5"/>
  <c r="F315" i="5"/>
  <c r="H315" i="5"/>
  <c r="I315" i="5" s="1"/>
  <c r="Z315" i="5"/>
  <c r="O316" i="5"/>
  <c r="K316" i="5"/>
  <c r="AG316" i="5"/>
  <c r="AC316" i="5"/>
  <c r="AD316" i="5"/>
  <c r="F316" i="5"/>
  <c r="H316" i="5"/>
  <c r="I316" i="5" s="1"/>
  <c r="Z316" i="5"/>
  <c r="O317" i="5"/>
  <c r="K317" i="5"/>
  <c r="AG317" i="5"/>
  <c r="AC317" i="5"/>
  <c r="AD317" i="5"/>
  <c r="F317" i="5"/>
  <c r="H317" i="5"/>
  <c r="I317" i="5"/>
  <c r="Z317" i="5"/>
  <c r="O318" i="5"/>
  <c r="K318" i="5"/>
  <c r="AG318" i="5"/>
  <c r="AC318" i="5"/>
  <c r="AD318" i="5"/>
  <c r="F318" i="5"/>
  <c r="H318" i="5"/>
  <c r="I318" i="5"/>
  <c r="Z318" i="5"/>
  <c r="O319" i="5"/>
  <c r="K319" i="5"/>
  <c r="AG319" i="5"/>
  <c r="B339" i="4"/>
  <c r="C319" i="5"/>
  <c r="I319" i="5"/>
  <c r="AA319" i="5"/>
  <c r="AC319" i="5"/>
  <c r="AL321" i="8" s="1"/>
  <c r="AD319" i="5"/>
  <c r="AL319" i="5"/>
  <c r="Z319" i="5"/>
  <c r="O320" i="5"/>
  <c r="K320" i="5"/>
  <c r="AG320" i="5"/>
  <c r="B320" i="4"/>
  <c r="C320" i="5"/>
  <c r="I320" i="5"/>
  <c r="AA320" i="5"/>
  <c r="AC320" i="5"/>
  <c r="AD320" i="5"/>
  <c r="AL320" i="5"/>
  <c r="Z320" i="5"/>
  <c r="O321" i="5"/>
  <c r="K321" i="5"/>
  <c r="AG321" i="5"/>
  <c r="B337" i="4"/>
  <c r="D337" i="4" s="1"/>
  <c r="E321" i="5" s="1"/>
  <c r="C321" i="5"/>
  <c r="I321" i="5"/>
  <c r="AA321" i="5"/>
  <c r="AC321" i="5"/>
  <c r="AD321" i="5"/>
  <c r="AL321" i="5"/>
  <c r="Z321" i="5"/>
  <c r="O322" i="5"/>
  <c r="K322" i="5"/>
  <c r="AG322" i="5"/>
  <c r="B334" i="4"/>
  <c r="C322" i="5"/>
  <c r="I322" i="5"/>
  <c r="AA322" i="5"/>
  <c r="AC322" i="5"/>
  <c r="AD322" i="5"/>
  <c r="AL322" i="5"/>
  <c r="Z322" i="5"/>
  <c r="O323" i="5"/>
  <c r="K323" i="5"/>
  <c r="AG323" i="5"/>
  <c r="B335" i="4"/>
  <c r="C323" i="5"/>
  <c r="I323" i="5"/>
  <c r="AA323" i="5"/>
  <c r="AC323" i="5"/>
  <c r="AD323" i="5"/>
  <c r="AL323" i="5"/>
  <c r="Z323" i="5"/>
  <c r="O324" i="5"/>
  <c r="K324" i="5"/>
  <c r="AG324" i="5"/>
  <c r="B321" i="4"/>
  <c r="C324" i="5"/>
  <c r="AA324" i="5"/>
  <c r="AC324" i="5"/>
  <c r="AD324" i="5"/>
  <c r="AL324" i="5"/>
  <c r="F324" i="5"/>
  <c r="H324" i="5"/>
  <c r="I324" i="5"/>
  <c r="Z324" i="5"/>
  <c r="O325" i="5"/>
  <c r="K325" i="5"/>
  <c r="AG325" i="5"/>
  <c r="AF325" i="5"/>
  <c r="C325" i="5"/>
  <c r="B322" i="4"/>
  <c r="I325" i="5"/>
  <c r="AA325" i="5"/>
  <c r="AC325" i="5"/>
  <c r="AD325" i="5"/>
  <c r="AL325" i="5"/>
  <c r="Z325" i="5"/>
  <c r="O326" i="5"/>
  <c r="K326" i="5"/>
  <c r="AG326" i="5"/>
  <c r="B323" i="4"/>
  <c r="C326" i="5"/>
  <c r="I326" i="5"/>
  <c r="AA326" i="5"/>
  <c r="AC326" i="5"/>
  <c r="AD326" i="5"/>
  <c r="AL326" i="5"/>
  <c r="Z326" i="5"/>
  <c r="O327" i="5"/>
  <c r="K327" i="5"/>
  <c r="AG327" i="5"/>
  <c r="B324" i="4"/>
  <c r="D324" i="4" s="1"/>
  <c r="E327" i="5" s="1"/>
  <c r="C327" i="5"/>
  <c r="AA327" i="5"/>
  <c r="AC327" i="5"/>
  <c r="AD327" i="5"/>
  <c r="AL327" i="5"/>
  <c r="F327" i="5"/>
  <c r="H327" i="5"/>
  <c r="I327" i="5"/>
  <c r="Z327" i="5"/>
  <c r="O328" i="5"/>
  <c r="K328" i="5"/>
  <c r="AG328" i="5"/>
  <c r="B325" i="4"/>
  <c r="C328" i="5"/>
  <c r="AA328" i="5"/>
  <c r="AC328" i="5"/>
  <c r="AD328" i="5"/>
  <c r="AL328" i="5"/>
  <c r="F328" i="5"/>
  <c r="H328" i="5"/>
  <c r="I328" i="5"/>
  <c r="Z328" i="5"/>
  <c r="O329" i="5"/>
  <c r="K329" i="5"/>
  <c r="AG329" i="5"/>
  <c r="B319" i="4"/>
  <c r="C329" i="5"/>
  <c r="AA329" i="5"/>
  <c r="AC329" i="5"/>
  <c r="AD329" i="5"/>
  <c r="AL329" i="5"/>
  <c r="F329" i="5"/>
  <c r="H329" i="5"/>
  <c r="I329" i="5" s="1"/>
  <c r="Z329" i="5"/>
  <c r="O330" i="5"/>
  <c r="K330" i="5"/>
  <c r="AG330" i="5"/>
  <c r="B343" i="4"/>
  <c r="C330" i="5"/>
  <c r="I330" i="5"/>
  <c r="AA330" i="5"/>
  <c r="AC330" i="5"/>
  <c r="AD330" i="5"/>
  <c r="AL330" i="5"/>
  <c r="Z330" i="5"/>
  <c r="O331" i="5"/>
  <c r="K331" i="5"/>
  <c r="AG331" i="5"/>
  <c r="B340" i="4"/>
  <c r="AF331" i="5"/>
  <c r="C331" i="5"/>
  <c r="I331" i="5"/>
  <c r="AA331" i="5"/>
  <c r="AC331" i="5"/>
  <c r="AD331" i="5"/>
  <c r="Z331" i="5"/>
  <c r="O332" i="5"/>
  <c r="K332" i="5"/>
  <c r="AG332" i="5"/>
  <c r="B338" i="4"/>
  <c r="C332" i="5"/>
  <c r="I332" i="5"/>
  <c r="AA332" i="5"/>
  <c r="AC332" i="5"/>
  <c r="AD332" i="5"/>
  <c r="AL332" i="5"/>
  <c r="Z332" i="5"/>
  <c r="O333" i="5"/>
  <c r="K333" i="5"/>
  <c r="AG333" i="5"/>
  <c r="B341" i="4"/>
  <c r="C333" i="5"/>
  <c r="I333" i="5"/>
  <c r="AA333" i="5"/>
  <c r="AC333" i="5"/>
  <c r="AD333" i="5"/>
  <c r="AL333" i="5"/>
  <c r="Z333" i="5"/>
  <c r="O334" i="5"/>
  <c r="K334" i="5"/>
  <c r="AG334" i="5"/>
  <c r="B342" i="4"/>
  <c r="C334" i="5"/>
  <c r="AA334" i="5"/>
  <c r="AC334" i="5"/>
  <c r="AD334" i="5"/>
  <c r="AL334" i="5"/>
  <c r="F334" i="5"/>
  <c r="H334" i="5"/>
  <c r="I334" i="5" s="1"/>
  <c r="Z334" i="5"/>
  <c r="O335" i="5"/>
  <c r="K335" i="5"/>
  <c r="AG335" i="5"/>
  <c r="B349" i="4"/>
  <c r="C335" i="5"/>
  <c r="AA335" i="5"/>
  <c r="AC335" i="5"/>
  <c r="AD335" i="5"/>
  <c r="AL335" i="5"/>
  <c r="F335" i="5"/>
  <c r="H335" i="5"/>
  <c r="I335" i="5"/>
  <c r="Z335" i="5"/>
  <c r="O336" i="5"/>
  <c r="K336" i="5"/>
  <c r="AG336" i="5"/>
  <c r="B347" i="4"/>
  <c r="C336" i="5"/>
  <c r="I336" i="5"/>
  <c r="AA336" i="5"/>
  <c r="AC336" i="5"/>
  <c r="AD336" i="5"/>
  <c r="AL336" i="5"/>
  <c r="Z336" i="5"/>
  <c r="O337" i="5"/>
  <c r="K337" i="5"/>
  <c r="AG337" i="5"/>
  <c r="AF337" i="5"/>
  <c r="C337" i="5"/>
  <c r="B345" i="4"/>
  <c r="I337" i="5"/>
  <c r="AA337" i="5"/>
  <c r="AC337" i="5"/>
  <c r="AD337" i="5"/>
  <c r="AL337" i="5"/>
  <c r="Z337" i="5"/>
  <c r="O338" i="5"/>
  <c r="K338" i="5"/>
  <c r="AG338" i="5"/>
  <c r="B344" i="4"/>
  <c r="C338" i="5"/>
  <c r="I338" i="5"/>
  <c r="AA338" i="5"/>
  <c r="AC338" i="5"/>
  <c r="AD338" i="5"/>
  <c r="AL338" i="5"/>
  <c r="Z338" i="5"/>
  <c r="O339" i="5"/>
  <c r="K339" i="5"/>
  <c r="AG339" i="5"/>
  <c r="B350" i="4"/>
  <c r="C339" i="5"/>
  <c r="I339" i="5"/>
  <c r="AA339" i="5"/>
  <c r="AC339" i="5"/>
  <c r="AD339" i="5"/>
  <c r="AL339" i="5"/>
  <c r="Z339" i="5"/>
  <c r="O340" i="5"/>
  <c r="K340" i="5"/>
  <c r="AG340" i="5"/>
  <c r="B346" i="4"/>
  <c r="C340" i="5"/>
  <c r="R340" i="8" s="1"/>
  <c r="AA340" i="5"/>
  <c r="AC340" i="5"/>
  <c r="AD340" i="5"/>
  <c r="AL340" i="5"/>
  <c r="F340" i="5"/>
  <c r="H340" i="5"/>
  <c r="I340" i="5"/>
  <c r="Z340" i="5"/>
  <c r="O341" i="5"/>
  <c r="K341" i="5"/>
  <c r="AG341" i="5"/>
  <c r="B351" i="4"/>
  <c r="C341" i="5"/>
  <c r="I341" i="5"/>
  <c r="AA341" i="5"/>
  <c r="AC341" i="5"/>
  <c r="AD341" i="5"/>
  <c r="AL341" i="5"/>
  <c r="Z341" i="5"/>
  <c r="O342" i="5"/>
  <c r="K342" i="5"/>
  <c r="AG342" i="5"/>
  <c r="B326" i="4"/>
  <c r="D326" i="4" s="1"/>
  <c r="E342" i="5" s="1"/>
  <c r="C342" i="5"/>
  <c r="R342" i="8" s="1"/>
  <c r="AA342" i="5"/>
  <c r="AC342" i="5"/>
  <c r="AD342" i="5"/>
  <c r="AL342" i="5"/>
  <c r="F342" i="5"/>
  <c r="H342" i="5"/>
  <c r="I342" i="5" s="1"/>
  <c r="Z342" i="5"/>
  <c r="O343" i="5"/>
  <c r="K343" i="5"/>
  <c r="AG343" i="5"/>
  <c r="B327" i="4"/>
  <c r="D327" i="4" s="1"/>
  <c r="E343" i="5" s="1"/>
  <c r="AP343" i="5" s="1"/>
  <c r="C343" i="5"/>
  <c r="I343" i="5"/>
  <c r="AA343" i="5"/>
  <c r="AC343" i="5"/>
  <c r="AD343" i="5"/>
  <c r="AL343" i="5"/>
  <c r="Z343" i="5"/>
  <c r="O344" i="5"/>
  <c r="K344" i="5"/>
  <c r="AG344" i="5"/>
  <c r="B328" i="4"/>
  <c r="D328" i="4" s="1"/>
  <c r="E344" i="5" s="1"/>
  <c r="C344" i="5"/>
  <c r="AA344" i="5"/>
  <c r="AC344" i="5"/>
  <c r="AD344" i="5"/>
  <c r="AL344" i="5"/>
  <c r="F344" i="5"/>
  <c r="H344" i="5"/>
  <c r="I344" i="5"/>
  <c r="Z344" i="5"/>
  <c r="O345" i="5"/>
  <c r="K345" i="5"/>
  <c r="AG345" i="5"/>
  <c r="B329" i="4"/>
  <c r="C345" i="5"/>
  <c r="I345" i="5"/>
  <c r="AA345" i="5"/>
  <c r="AC345" i="5"/>
  <c r="AD345" i="5"/>
  <c r="AL345" i="5"/>
  <c r="Z345" i="5"/>
  <c r="O346" i="5"/>
  <c r="K346" i="5"/>
  <c r="AG346" i="5"/>
  <c r="B336" i="4"/>
  <c r="C346" i="5"/>
  <c r="I346" i="5"/>
  <c r="AA346" i="5"/>
  <c r="AC346" i="5"/>
  <c r="AD346" i="5"/>
  <c r="AL346" i="5"/>
  <c r="Z346" i="5"/>
  <c r="O347" i="5"/>
  <c r="K347" i="5"/>
  <c r="AG347" i="5"/>
  <c r="B330" i="4"/>
  <c r="C347" i="5"/>
  <c r="I347" i="5"/>
  <c r="AA347" i="5"/>
  <c r="AC347" i="5"/>
  <c r="AD347" i="5"/>
  <c r="AL347" i="5"/>
  <c r="Z347" i="5"/>
  <c r="O348" i="5"/>
  <c r="K348" i="5"/>
  <c r="AG348" i="5"/>
  <c r="AB348" i="8" s="1"/>
  <c r="B331" i="4"/>
  <c r="C348" i="5"/>
  <c r="AA348" i="5"/>
  <c r="AC348" i="5"/>
  <c r="AL348" i="8" s="1"/>
  <c r="AD348" i="5"/>
  <c r="AL348" i="5"/>
  <c r="F348" i="5"/>
  <c r="H348" i="5"/>
  <c r="I348" i="5" s="1"/>
  <c r="Z348" i="5"/>
  <c r="O349" i="5"/>
  <c r="K349" i="5"/>
  <c r="AG349" i="5"/>
  <c r="B332" i="4"/>
  <c r="C349" i="5"/>
  <c r="AA349" i="5"/>
  <c r="AC349" i="5"/>
  <c r="AL349" i="8" s="1"/>
  <c r="AD349" i="5"/>
  <c r="AL349" i="5"/>
  <c r="F349" i="5"/>
  <c r="H349" i="5"/>
  <c r="I349" i="5" s="1"/>
  <c r="Z349" i="5"/>
  <c r="O350" i="5"/>
  <c r="K350" i="5"/>
  <c r="AG350" i="5"/>
  <c r="AB350" i="8" s="1"/>
  <c r="B333" i="4"/>
  <c r="D333" i="4" s="1"/>
  <c r="E350" i="5" s="1"/>
  <c r="C350" i="5"/>
  <c r="R350" i="8" s="1"/>
  <c r="AA350" i="5"/>
  <c r="AC350" i="5"/>
  <c r="AL350" i="8" s="1"/>
  <c r="AD350" i="5"/>
  <c r="AL350" i="5"/>
  <c r="F350" i="5"/>
  <c r="H350" i="5"/>
  <c r="I350" i="5"/>
  <c r="Z350" i="5"/>
  <c r="O351" i="5"/>
  <c r="K351" i="5"/>
  <c r="AG351" i="5"/>
  <c r="B348" i="4"/>
  <c r="C351" i="5"/>
  <c r="R32" i="8" s="1"/>
  <c r="I351" i="5"/>
  <c r="AQ351" i="5" s="1"/>
  <c r="AA351" i="5"/>
  <c r="AC351" i="5"/>
  <c r="AD351" i="5"/>
  <c r="AL351" i="5"/>
  <c r="Z351" i="5"/>
  <c r="B358" i="4"/>
  <c r="F352" i="5"/>
  <c r="H352" i="5"/>
  <c r="I352" i="5" s="1"/>
  <c r="Z352" i="5"/>
  <c r="B369" i="4"/>
  <c r="F353" i="5"/>
  <c r="H353" i="5"/>
  <c r="I353" i="5" s="1"/>
  <c r="Z353" i="5"/>
  <c r="B370" i="4"/>
  <c r="F354" i="5"/>
  <c r="H354" i="5"/>
  <c r="I354" i="5" s="1"/>
  <c r="Z354" i="5"/>
  <c r="B371" i="4"/>
  <c r="F355" i="5"/>
  <c r="H355" i="5"/>
  <c r="I355" i="5"/>
  <c r="Z356" i="5"/>
  <c r="F356" i="5"/>
  <c r="H356" i="5"/>
  <c r="I356" i="5"/>
  <c r="B373" i="4"/>
  <c r="Z357" i="5"/>
  <c r="F357" i="5"/>
  <c r="H357" i="5"/>
  <c r="I357" i="5" s="1"/>
  <c r="B352" i="4"/>
  <c r="Z358" i="5"/>
  <c r="F358" i="5"/>
  <c r="H358" i="5"/>
  <c r="I358" i="5" s="1"/>
  <c r="B364" i="4"/>
  <c r="Z359" i="5"/>
  <c r="F359" i="5"/>
  <c r="H359" i="5"/>
  <c r="I359" i="5" s="1"/>
  <c r="F360" i="5"/>
  <c r="H360" i="5"/>
  <c r="I360" i="5"/>
  <c r="B357" i="4"/>
  <c r="F361" i="5"/>
  <c r="H361" i="5"/>
  <c r="I361" i="5" s="1"/>
  <c r="Z361" i="5"/>
  <c r="B355" i="4"/>
  <c r="F362" i="5"/>
  <c r="H362" i="5"/>
  <c r="I362" i="5" s="1"/>
  <c r="Z362" i="5"/>
  <c r="B359" i="4"/>
  <c r="F363" i="5"/>
  <c r="H363" i="5"/>
  <c r="I363" i="5" s="1"/>
  <c r="Z363" i="5"/>
  <c r="B360" i="4"/>
  <c r="F364" i="5"/>
  <c r="H364" i="5"/>
  <c r="I364" i="5" s="1"/>
  <c r="Z364" i="5"/>
  <c r="B365" i="4"/>
  <c r="F365" i="5"/>
  <c r="H365" i="5"/>
  <c r="I365" i="5" s="1"/>
  <c r="Z365" i="5"/>
  <c r="B356" i="4"/>
  <c r="F366" i="5"/>
  <c r="H366" i="5"/>
  <c r="I366" i="5" s="1"/>
  <c r="Z366" i="5"/>
  <c r="B366" i="4"/>
  <c r="F367" i="5"/>
  <c r="H367" i="5"/>
  <c r="I367" i="5" s="1"/>
  <c r="Z367" i="5"/>
  <c r="B367" i="4"/>
  <c r="F368" i="5"/>
  <c r="H368" i="5"/>
  <c r="I368" i="5" s="1"/>
  <c r="Z368" i="5"/>
  <c r="B368" i="4"/>
  <c r="F369" i="5"/>
  <c r="H369" i="5"/>
  <c r="I369" i="5" s="1"/>
  <c r="Z369" i="5"/>
  <c r="B354" i="4"/>
  <c r="F370" i="5"/>
  <c r="H370" i="5"/>
  <c r="I370" i="5" s="1"/>
  <c r="B361" i="4"/>
  <c r="F371" i="5"/>
  <c r="H371" i="5"/>
  <c r="I371" i="5"/>
  <c r="Z371" i="5"/>
  <c r="B363" i="4"/>
  <c r="F372" i="5"/>
  <c r="H372" i="5"/>
  <c r="I372" i="5"/>
  <c r="Z372" i="5"/>
  <c r="B362" i="4"/>
  <c r="F373" i="5"/>
  <c r="H373" i="5"/>
  <c r="I373" i="5"/>
  <c r="Z373" i="5"/>
  <c r="B374" i="4"/>
  <c r="AF374" i="5"/>
  <c r="F374" i="5"/>
  <c r="H374" i="5"/>
  <c r="I374" i="5" s="1"/>
  <c r="Z374" i="5"/>
  <c r="B375" i="4"/>
  <c r="AF375" i="5"/>
  <c r="F375" i="5"/>
  <c r="H375" i="5"/>
  <c r="I375" i="5" s="1"/>
  <c r="Z375" i="5"/>
  <c r="B376" i="4"/>
  <c r="AF376" i="5"/>
  <c r="F376" i="5"/>
  <c r="H376" i="5"/>
  <c r="I376" i="5"/>
  <c r="Z376" i="5"/>
  <c r="B377" i="4"/>
  <c r="AF377" i="5"/>
  <c r="F377" i="5"/>
  <c r="H377" i="5"/>
  <c r="I377" i="5"/>
  <c r="Z377" i="5"/>
  <c r="F378" i="5"/>
  <c r="H378" i="5"/>
  <c r="I378" i="5" s="1"/>
  <c r="AD67" i="2" s="1"/>
  <c r="Z378" i="5"/>
  <c r="B379" i="4"/>
  <c r="AF379" i="5"/>
  <c r="F379" i="5"/>
  <c r="H379" i="5"/>
  <c r="I379" i="5" s="1"/>
  <c r="Z379" i="5"/>
  <c r="B380" i="4"/>
  <c r="AF380" i="5"/>
  <c r="F380" i="5"/>
  <c r="H380" i="5"/>
  <c r="I380" i="5"/>
  <c r="Z380" i="5"/>
  <c r="B381" i="4"/>
  <c r="AF381" i="5"/>
  <c r="F381" i="5"/>
  <c r="H381" i="5"/>
  <c r="I381" i="5"/>
  <c r="Z381" i="5"/>
  <c r="B382" i="4"/>
  <c r="AF382" i="5"/>
  <c r="F382" i="5"/>
  <c r="H382" i="5"/>
  <c r="I382" i="5" s="1"/>
  <c r="Z382" i="5"/>
  <c r="B383" i="4"/>
  <c r="AF383" i="5"/>
  <c r="F383" i="5"/>
  <c r="H383" i="5"/>
  <c r="I383" i="5"/>
  <c r="Z383" i="5"/>
  <c r="F384" i="5"/>
  <c r="H384" i="5"/>
  <c r="I384" i="5"/>
  <c r="Z384" i="5"/>
  <c r="AA387" i="5"/>
  <c r="Z380" i="8" s="1"/>
  <c r="B391" i="4"/>
  <c r="O387" i="5"/>
  <c r="V380" i="8" s="1"/>
  <c r="K387" i="5"/>
  <c r="AF380" i="8" s="1"/>
  <c r="AG387" i="5"/>
  <c r="AB380" i="8" s="1"/>
  <c r="AF387" i="5"/>
  <c r="AY387" i="5" s="1"/>
  <c r="E387" i="5"/>
  <c r="F387" i="5"/>
  <c r="S380" i="8" s="1"/>
  <c r="H387" i="5"/>
  <c r="I387" i="5"/>
  <c r="L387" i="5"/>
  <c r="N387" i="5"/>
  <c r="AG380" i="8" s="1"/>
  <c r="Q387" i="5"/>
  <c r="R387" i="5"/>
  <c r="W380" i="8" s="1"/>
  <c r="T387" i="5"/>
  <c r="AI380" i="8" s="1"/>
  <c r="U387" i="5"/>
  <c r="X387" i="5"/>
  <c r="Z387" i="5"/>
  <c r="AK380" i="8" s="1"/>
  <c r="AC387" i="5"/>
  <c r="AD387" i="5"/>
  <c r="AI387" i="5"/>
  <c r="AN380" i="8" s="1"/>
  <c r="AJ387" i="5"/>
  <c r="AL387" i="5"/>
  <c r="AA388" i="5"/>
  <c r="W388" i="5"/>
  <c r="O388" i="5"/>
  <c r="K388" i="5"/>
  <c r="AG388" i="5"/>
  <c r="AF388" i="5"/>
  <c r="E388" i="5"/>
  <c r="AD384" i="8" s="1"/>
  <c r="F388" i="5"/>
  <c r="H388" i="5"/>
  <c r="I388" i="5"/>
  <c r="T384" i="8" s="1"/>
  <c r="L388" i="5"/>
  <c r="N388" i="5"/>
  <c r="Q388" i="5"/>
  <c r="R388" i="5"/>
  <c r="T388" i="5"/>
  <c r="U388" i="5"/>
  <c r="X384" i="8" s="1"/>
  <c r="X388" i="5"/>
  <c r="Z388" i="5"/>
  <c r="AC388" i="5"/>
  <c r="AD388" i="5"/>
  <c r="AI388" i="5"/>
  <c r="AN384" i="8" s="1"/>
  <c r="AJ388" i="5"/>
  <c r="AL388" i="5"/>
  <c r="AA389" i="5"/>
  <c r="W389" i="5"/>
  <c r="AJ382" i="8" s="1"/>
  <c r="O389" i="5"/>
  <c r="V382" i="8" s="1"/>
  <c r="K389" i="5"/>
  <c r="AG389" i="5"/>
  <c r="AB382" i="8" s="1"/>
  <c r="AF389" i="5"/>
  <c r="E389" i="5"/>
  <c r="F389" i="5"/>
  <c r="S382" i="8" s="1"/>
  <c r="H389" i="5"/>
  <c r="I389" i="5"/>
  <c r="T382" i="8" s="1"/>
  <c r="L389" i="5"/>
  <c r="U382" i="8" s="1"/>
  <c r="N389" i="5"/>
  <c r="Q389" i="5"/>
  <c r="R389" i="5"/>
  <c r="T389" i="5"/>
  <c r="AI382" i="8" s="1"/>
  <c r="U389" i="5"/>
  <c r="X389" i="5"/>
  <c r="Y382" i="8" s="1"/>
  <c r="Z389" i="5"/>
  <c r="AC389" i="5"/>
  <c r="AD389" i="5"/>
  <c r="AI389" i="5"/>
  <c r="AJ389" i="5"/>
  <c r="AC382" i="8" s="1"/>
  <c r="AL389" i="5"/>
  <c r="BA389" i="5" s="1"/>
  <c r="AA390" i="5"/>
  <c r="W390" i="5"/>
  <c r="O390" i="5"/>
  <c r="K390" i="5"/>
  <c r="AF383" i="8" s="1"/>
  <c r="AG390" i="5"/>
  <c r="AB383" i="8" s="1"/>
  <c r="AF390" i="5"/>
  <c r="B388" i="4"/>
  <c r="E390" i="5"/>
  <c r="AD383" i="8" s="1"/>
  <c r="F390" i="5"/>
  <c r="AP390" i="5" s="1"/>
  <c r="H390" i="5"/>
  <c r="I390" i="5"/>
  <c r="L390" i="5"/>
  <c r="N390" i="5"/>
  <c r="Q390" i="5"/>
  <c r="R390" i="5"/>
  <c r="T390" i="5"/>
  <c r="U390" i="5"/>
  <c r="X390" i="5"/>
  <c r="Y383" i="8" s="1"/>
  <c r="Z390" i="5"/>
  <c r="AK383" i="8" s="1"/>
  <c r="AC390" i="5"/>
  <c r="AL383" i="8" s="1"/>
  <c r="AD390" i="5"/>
  <c r="AI390" i="5"/>
  <c r="AL390" i="5"/>
  <c r="AA391" i="5"/>
  <c r="W391" i="5"/>
  <c r="O391" i="5"/>
  <c r="K391" i="5"/>
  <c r="AG391" i="5"/>
  <c r="AF391" i="5"/>
  <c r="E391" i="5"/>
  <c r="AD385" i="8" s="1"/>
  <c r="F391" i="5"/>
  <c r="S385" i="8" s="1"/>
  <c r="H391" i="5"/>
  <c r="I391" i="5"/>
  <c r="L391" i="5"/>
  <c r="N391" i="5"/>
  <c r="Q391" i="5"/>
  <c r="R391" i="5"/>
  <c r="T391" i="5"/>
  <c r="U391" i="5"/>
  <c r="X391" i="5"/>
  <c r="Z391" i="5"/>
  <c r="AC391" i="5"/>
  <c r="AL385" i="8" s="1"/>
  <c r="AD391" i="5"/>
  <c r="AI391" i="5"/>
  <c r="AL391" i="5"/>
  <c r="AA392" i="5"/>
  <c r="Z36" i="8" s="1"/>
  <c r="B393" i="4"/>
  <c r="O392" i="5"/>
  <c r="K392" i="5"/>
  <c r="AG392" i="5"/>
  <c r="AF392" i="5"/>
  <c r="C392" i="5"/>
  <c r="L392" i="5"/>
  <c r="N392" i="5"/>
  <c r="U392" i="5"/>
  <c r="AC392" i="5"/>
  <c r="AD392" i="5"/>
  <c r="AL392" i="5"/>
  <c r="F392" i="5"/>
  <c r="E392" i="5"/>
  <c r="H392" i="5"/>
  <c r="I392" i="5" s="1"/>
  <c r="R392" i="5"/>
  <c r="T392" i="5"/>
  <c r="AA393" i="5"/>
  <c r="Z386" i="8" s="1"/>
  <c r="B403" i="4"/>
  <c r="O393" i="5"/>
  <c r="K393" i="5"/>
  <c r="AF386" i="8" s="1"/>
  <c r="AG393" i="5"/>
  <c r="AB386" i="8" s="1"/>
  <c r="AF393" i="5"/>
  <c r="C393" i="5"/>
  <c r="L393" i="5"/>
  <c r="U386" i="8" s="1"/>
  <c r="N393" i="5"/>
  <c r="U393" i="5"/>
  <c r="AC393" i="5"/>
  <c r="AD393" i="5"/>
  <c r="AA386" i="8" s="1"/>
  <c r="AL393" i="5"/>
  <c r="AO386" i="8" s="1"/>
  <c r="F393" i="5"/>
  <c r="E393" i="5" s="1"/>
  <c r="H393" i="5"/>
  <c r="I393" i="5" s="1"/>
  <c r="R393" i="5"/>
  <c r="T393" i="5"/>
  <c r="AA394" i="5"/>
  <c r="B404" i="4"/>
  <c r="O394" i="5"/>
  <c r="K394" i="5"/>
  <c r="AF387" i="8" s="1"/>
  <c r="AG394" i="5"/>
  <c r="AF394" i="5"/>
  <c r="C394" i="5"/>
  <c r="L394" i="5"/>
  <c r="U387" i="8" s="1"/>
  <c r="N394" i="5"/>
  <c r="U394" i="5"/>
  <c r="AU394" i="5" s="1"/>
  <c r="AC394" i="5"/>
  <c r="AD394" i="5"/>
  <c r="AL394" i="5"/>
  <c r="F394" i="5"/>
  <c r="E394" i="5" s="1"/>
  <c r="H394" i="5"/>
  <c r="I394" i="5"/>
  <c r="R394" i="5"/>
  <c r="T394" i="5"/>
  <c r="AA395" i="5"/>
  <c r="B407" i="4"/>
  <c r="O395" i="5"/>
  <c r="V388" i="8" s="1"/>
  <c r="K395" i="5"/>
  <c r="AG395" i="5"/>
  <c r="AF395" i="5"/>
  <c r="C395" i="5"/>
  <c r="R388" i="8" s="1"/>
  <c r="L395" i="5"/>
  <c r="N395" i="5"/>
  <c r="U395" i="5"/>
  <c r="X388" i="8" s="1"/>
  <c r="AC395" i="5"/>
  <c r="AD395" i="5"/>
  <c r="F395" i="5"/>
  <c r="E395" i="5" s="1"/>
  <c r="H395" i="5"/>
  <c r="I395" i="5"/>
  <c r="R395" i="5"/>
  <c r="T395" i="5"/>
  <c r="AA396" i="5"/>
  <c r="B394" i="4"/>
  <c r="O396" i="5"/>
  <c r="K396" i="5"/>
  <c r="AG396" i="5"/>
  <c r="AF396" i="5"/>
  <c r="C396" i="5"/>
  <c r="L396" i="5"/>
  <c r="N396" i="5"/>
  <c r="U396" i="5"/>
  <c r="X389" i="8" s="1"/>
  <c r="AC396" i="5"/>
  <c r="AD396" i="5"/>
  <c r="AL396" i="5"/>
  <c r="F396" i="5"/>
  <c r="E396" i="5" s="1"/>
  <c r="H396" i="5"/>
  <c r="I396" i="5"/>
  <c r="R396" i="5"/>
  <c r="T396" i="5"/>
  <c r="AA397" i="5"/>
  <c r="B395" i="4"/>
  <c r="O397" i="5"/>
  <c r="K397" i="5"/>
  <c r="AG397" i="5"/>
  <c r="AB390" i="8" s="1"/>
  <c r="AF397" i="5"/>
  <c r="C397" i="5"/>
  <c r="R390" i="8" s="1"/>
  <c r="L397" i="5"/>
  <c r="U390" i="8" s="1"/>
  <c r="N397" i="5"/>
  <c r="U397" i="5"/>
  <c r="X390" i="8" s="1"/>
  <c r="AC397" i="5"/>
  <c r="AD397" i="5"/>
  <c r="AL397" i="5"/>
  <c r="F397" i="5"/>
  <c r="E397" i="5"/>
  <c r="H397" i="5"/>
  <c r="I397" i="5"/>
  <c r="R397" i="5"/>
  <c r="T397" i="5"/>
  <c r="AA398" i="5"/>
  <c r="B396" i="4"/>
  <c r="O398" i="5"/>
  <c r="K398" i="5"/>
  <c r="AG398" i="5"/>
  <c r="AF398" i="5"/>
  <c r="C398" i="5"/>
  <c r="L398" i="5"/>
  <c r="U391" i="8" s="1"/>
  <c r="N398" i="5"/>
  <c r="U398" i="5"/>
  <c r="AU398" i="5" s="1"/>
  <c r="AC398" i="5"/>
  <c r="AD398" i="5"/>
  <c r="AL398" i="5"/>
  <c r="F398" i="5"/>
  <c r="E398" i="5" s="1"/>
  <c r="H398" i="5"/>
  <c r="I398" i="5"/>
  <c r="R398" i="5"/>
  <c r="T398" i="5"/>
  <c r="AA399" i="5"/>
  <c r="B397" i="4"/>
  <c r="O399" i="5"/>
  <c r="K399" i="5"/>
  <c r="AF392" i="8" s="1"/>
  <c r="AG399" i="5"/>
  <c r="AF399" i="5"/>
  <c r="C399" i="5"/>
  <c r="L399" i="5"/>
  <c r="N399" i="5"/>
  <c r="AG392" i="8" s="1"/>
  <c r="U399" i="5"/>
  <c r="AU399" i="5" s="1"/>
  <c r="AC399" i="5"/>
  <c r="AD399" i="5"/>
  <c r="AL399" i="5"/>
  <c r="F399" i="5"/>
  <c r="E399" i="5" s="1"/>
  <c r="H399" i="5"/>
  <c r="I399" i="5"/>
  <c r="R399" i="5"/>
  <c r="T399" i="5"/>
  <c r="AA400" i="5"/>
  <c r="B416" i="4"/>
  <c r="O400" i="5"/>
  <c r="K400" i="5"/>
  <c r="AG400" i="5"/>
  <c r="AF400" i="5"/>
  <c r="C400" i="5"/>
  <c r="L400" i="5"/>
  <c r="U393" i="8" s="1"/>
  <c r="N400" i="5"/>
  <c r="U400" i="5"/>
  <c r="AU400" i="5" s="1"/>
  <c r="AC400" i="5"/>
  <c r="AD400" i="5"/>
  <c r="AL400" i="5"/>
  <c r="F400" i="5"/>
  <c r="E400" i="5"/>
  <c r="H400" i="5"/>
  <c r="I400" i="5"/>
  <c r="R400" i="5"/>
  <c r="T400" i="5"/>
  <c r="AA401" i="5"/>
  <c r="Z37" i="8" s="1"/>
  <c r="B408" i="4"/>
  <c r="O401" i="5"/>
  <c r="V37" i="8" s="1"/>
  <c r="K401" i="5"/>
  <c r="AF37" i="8" s="1"/>
  <c r="AG401" i="5"/>
  <c r="AB37" i="8" s="1"/>
  <c r="AF401" i="5"/>
  <c r="AM37" i="8" s="1"/>
  <c r="C401" i="5"/>
  <c r="R37" i="8" s="1"/>
  <c r="L401" i="5"/>
  <c r="N401" i="5"/>
  <c r="AG37" i="8" s="1"/>
  <c r="U401" i="5"/>
  <c r="AC401" i="5"/>
  <c r="AD401" i="5"/>
  <c r="AL401" i="5"/>
  <c r="AO37" i="8" s="1"/>
  <c r="F401" i="5"/>
  <c r="E401" i="5" s="1"/>
  <c r="H401" i="5"/>
  <c r="I401" i="5"/>
  <c r="R401" i="5"/>
  <c r="T401" i="5"/>
  <c r="AA402" i="5"/>
  <c r="Z394" i="8" s="1"/>
  <c r="B412" i="4"/>
  <c r="O402" i="5"/>
  <c r="K402" i="5"/>
  <c r="AG402" i="5"/>
  <c r="AF402" i="5"/>
  <c r="C402" i="5"/>
  <c r="L402" i="5"/>
  <c r="U394" i="8" s="1"/>
  <c r="N402" i="5"/>
  <c r="U402" i="5"/>
  <c r="AC402" i="5"/>
  <c r="AD402" i="5"/>
  <c r="AL402" i="5"/>
  <c r="F402" i="5"/>
  <c r="E402" i="5" s="1"/>
  <c r="H402" i="5"/>
  <c r="I402" i="5"/>
  <c r="R402" i="5"/>
  <c r="T402" i="5"/>
  <c r="AA403" i="5"/>
  <c r="B409" i="4"/>
  <c r="O403" i="5"/>
  <c r="V395" i="8" s="1"/>
  <c r="K403" i="5"/>
  <c r="AG403" i="5"/>
  <c r="AF403" i="5"/>
  <c r="C403" i="5"/>
  <c r="L403" i="5"/>
  <c r="N403" i="5"/>
  <c r="AG395" i="8" s="1"/>
  <c r="U403" i="5"/>
  <c r="AC403" i="5"/>
  <c r="AD403" i="5"/>
  <c r="AL403" i="5"/>
  <c r="F403" i="5"/>
  <c r="E403" i="5"/>
  <c r="H403" i="5"/>
  <c r="I403" i="5"/>
  <c r="R403" i="5"/>
  <c r="T403" i="5"/>
  <c r="AA404" i="5"/>
  <c r="B410" i="4"/>
  <c r="O404" i="5"/>
  <c r="K404" i="5"/>
  <c r="AG404" i="5"/>
  <c r="AB396" i="8" s="1"/>
  <c r="AF404" i="5"/>
  <c r="C404" i="5"/>
  <c r="L404" i="5"/>
  <c r="N404" i="5"/>
  <c r="U404" i="5"/>
  <c r="AC404" i="5"/>
  <c r="AL396" i="8" s="1"/>
  <c r="AD404" i="5"/>
  <c r="AL404" i="5"/>
  <c r="BA404" i="5" s="1"/>
  <c r="F404" i="5"/>
  <c r="E404" i="5" s="1"/>
  <c r="H404" i="5"/>
  <c r="I404" i="5"/>
  <c r="R404" i="5"/>
  <c r="T404" i="5"/>
  <c r="AA405" i="5"/>
  <c r="Z397" i="8" s="1"/>
  <c r="B398" i="4"/>
  <c r="O405" i="5"/>
  <c r="AS405" i="5" s="1"/>
  <c r="K405" i="5"/>
  <c r="AG405" i="5"/>
  <c r="AF405" i="5"/>
  <c r="C405" i="5"/>
  <c r="R397" i="8" s="1"/>
  <c r="L405" i="5"/>
  <c r="U397" i="8" s="1"/>
  <c r="N405" i="5"/>
  <c r="U405" i="5"/>
  <c r="AC405" i="5"/>
  <c r="AD405" i="5"/>
  <c r="AX405" i="5" s="1"/>
  <c r="AL405" i="5"/>
  <c r="AO397" i="8" s="1"/>
  <c r="F405" i="5"/>
  <c r="E405" i="5" s="1"/>
  <c r="H405" i="5"/>
  <c r="I405" i="5"/>
  <c r="R405" i="5"/>
  <c r="T405" i="5"/>
  <c r="AA406" i="5"/>
  <c r="Z398" i="8" s="1"/>
  <c r="B399" i="4"/>
  <c r="O406" i="5"/>
  <c r="K406" i="5"/>
  <c r="AG406" i="5"/>
  <c r="AF406" i="5"/>
  <c r="AM398" i="8" s="1"/>
  <c r="C406" i="5"/>
  <c r="R398" i="8" s="1"/>
  <c r="L406" i="5"/>
  <c r="U398" i="8" s="1"/>
  <c r="N406" i="5"/>
  <c r="AS406" i="5" s="1"/>
  <c r="U406" i="5"/>
  <c r="X398" i="8" s="1"/>
  <c r="AC406" i="5"/>
  <c r="AL398" i="8" s="1"/>
  <c r="AD406" i="5"/>
  <c r="AL406" i="5"/>
  <c r="AO398" i="8" s="1"/>
  <c r="F406" i="5"/>
  <c r="E406" i="5"/>
  <c r="H406" i="5"/>
  <c r="I406" i="5"/>
  <c r="R406" i="5"/>
  <c r="T406" i="5"/>
  <c r="AA407" i="5"/>
  <c r="Z38" i="8" s="1"/>
  <c r="B400" i="4"/>
  <c r="O407" i="5"/>
  <c r="V38" i="8" s="1"/>
  <c r="K407" i="5"/>
  <c r="AG407" i="5"/>
  <c r="AF407" i="5"/>
  <c r="AM38" i="8" s="1"/>
  <c r="C407" i="5"/>
  <c r="R38" i="8" s="1"/>
  <c r="L407" i="5"/>
  <c r="N407" i="5"/>
  <c r="U407" i="5"/>
  <c r="AC407" i="5"/>
  <c r="AD407" i="5"/>
  <c r="AL407" i="5"/>
  <c r="F407" i="5"/>
  <c r="E407" i="5" s="1"/>
  <c r="H407" i="5"/>
  <c r="I407" i="5"/>
  <c r="R407" i="5"/>
  <c r="T407" i="5"/>
  <c r="AA408" i="5"/>
  <c r="B401" i="4"/>
  <c r="O408" i="5"/>
  <c r="K408" i="5"/>
  <c r="AG408" i="5"/>
  <c r="AB399" i="8" s="1"/>
  <c r="AF408" i="5"/>
  <c r="AM399" i="8" s="1"/>
  <c r="C408" i="5"/>
  <c r="R399" i="8" s="1"/>
  <c r="L408" i="5"/>
  <c r="U399" i="8" s="1"/>
  <c r="N408" i="5"/>
  <c r="U408" i="5"/>
  <c r="AC408" i="5"/>
  <c r="AD408" i="5"/>
  <c r="AL408" i="5"/>
  <c r="F408" i="5"/>
  <c r="E408" i="5" s="1"/>
  <c r="H408" i="5"/>
  <c r="I408" i="5"/>
  <c r="R408" i="5"/>
  <c r="T408" i="5"/>
  <c r="AA409" i="5"/>
  <c r="Z400" i="8" s="1"/>
  <c r="B415" i="4"/>
  <c r="O409" i="5"/>
  <c r="K409" i="5"/>
  <c r="AG409" i="5"/>
  <c r="AF409" i="5"/>
  <c r="C409" i="5"/>
  <c r="R400" i="8" s="1"/>
  <c r="L409" i="5"/>
  <c r="N409" i="5"/>
  <c r="U409" i="5"/>
  <c r="AU409" i="5" s="1"/>
  <c r="AC409" i="5"/>
  <c r="AD409" i="5"/>
  <c r="AL409" i="5"/>
  <c r="BA409" i="5" s="1"/>
  <c r="F409" i="5"/>
  <c r="E409" i="5"/>
  <c r="H409" i="5"/>
  <c r="I409" i="5"/>
  <c r="R409" i="5"/>
  <c r="T409" i="5"/>
  <c r="AA410" i="5"/>
  <c r="B405" i="4"/>
  <c r="O410" i="5"/>
  <c r="K410" i="5"/>
  <c r="AG410" i="5"/>
  <c r="AF410" i="5"/>
  <c r="AM401" i="8" s="1"/>
  <c r="C410" i="5"/>
  <c r="R401" i="8" s="1"/>
  <c r="L410" i="5"/>
  <c r="U401" i="8" s="1"/>
  <c r="N410" i="5"/>
  <c r="U410" i="5"/>
  <c r="AU410" i="5" s="1"/>
  <c r="AC410" i="5"/>
  <c r="AD410" i="5"/>
  <c r="AL410" i="5"/>
  <c r="F410" i="5"/>
  <c r="E410" i="5" s="1"/>
  <c r="H410" i="5"/>
  <c r="I410" i="5"/>
  <c r="R410" i="5"/>
  <c r="T410" i="5"/>
  <c r="AA411" i="5"/>
  <c r="B411" i="4"/>
  <c r="O411" i="5"/>
  <c r="K411" i="5"/>
  <c r="AG411" i="5"/>
  <c r="AF411" i="5"/>
  <c r="AM402" i="8" s="1"/>
  <c r="C411" i="5"/>
  <c r="L411" i="5"/>
  <c r="N411" i="5"/>
  <c r="U411" i="5"/>
  <c r="AU411" i="5" s="1"/>
  <c r="AC411" i="5"/>
  <c r="AL402" i="8" s="1"/>
  <c r="AD411" i="5"/>
  <c r="AL411" i="5"/>
  <c r="AO402" i="8" s="1"/>
  <c r="F411" i="5"/>
  <c r="E411" i="5" s="1"/>
  <c r="H411" i="5"/>
  <c r="I411" i="5"/>
  <c r="R411" i="5"/>
  <c r="T411" i="5"/>
  <c r="AA412" i="5"/>
  <c r="B402" i="4"/>
  <c r="O412" i="5"/>
  <c r="K412" i="5"/>
  <c r="AG412" i="5"/>
  <c r="AF412" i="5"/>
  <c r="C412" i="5"/>
  <c r="L412" i="5"/>
  <c r="U403" i="8" s="1"/>
  <c r="N412" i="5"/>
  <c r="U412" i="5"/>
  <c r="AC412" i="5"/>
  <c r="AD412" i="5"/>
  <c r="AL412" i="5"/>
  <c r="F412" i="5"/>
  <c r="E412" i="5"/>
  <c r="H412" i="5"/>
  <c r="I412" i="5"/>
  <c r="R412" i="5"/>
  <c r="T412" i="5"/>
  <c r="AA413" i="5"/>
  <c r="Z404" i="8" s="1"/>
  <c r="B392" i="4"/>
  <c r="O413" i="5"/>
  <c r="K413" i="5"/>
  <c r="AG413" i="5"/>
  <c r="AF413" i="5"/>
  <c r="C413" i="5"/>
  <c r="L413" i="5"/>
  <c r="N413" i="5"/>
  <c r="U413" i="5"/>
  <c r="AU413" i="5" s="1"/>
  <c r="AC413" i="5"/>
  <c r="AD413" i="5"/>
  <c r="AL413" i="5"/>
  <c r="F413" i="5"/>
  <c r="E413" i="5" s="1"/>
  <c r="H413" i="5"/>
  <c r="I413" i="5"/>
  <c r="R413" i="5"/>
  <c r="T413" i="5"/>
  <c r="AA414" i="5"/>
  <c r="B413" i="4"/>
  <c r="O414" i="5"/>
  <c r="K414" i="5"/>
  <c r="AG414" i="5"/>
  <c r="AB405" i="8" s="1"/>
  <c r="AF414" i="5"/>
  <c r="C414" i="5"/>
  <c r="R405" i="8" s="1"/>
  <c r="L414" i="5"/>
  <c r="N414" i="5"/>
  <c r="U414" i="5"/>
  <c r="X405" i="8" s="1"/>
  <c r="AC414" i="5"/>
  <c r="AD414" i="5"/>
  <c r="AL414" i="5"/>
  <c r="F414" i="5"/>
  <c r="E414" i="5" s="1"/>
  <c r="H414" i="5"/>
  <c r="I414" i="5"/>
  <c r="R414" i="5"/>
  <c r="T414" i="5"/>
  <c r="AA415" i="5"/>
  <c r="B414" i="4"/>
  <c r="O415" i="5"/>
  <c r="K415" i="5"/>
  <c r="AF406" i="8" s="1"/>
  <c r="AG415" i="5"/>
  <c r="AF415" i="5"/>
  <c r="C415" i="5"/>
  <c r="L415" i="5"/>
  <c r="N415" i="5"/>
  <c r="AG406" i="8" s="1"/>
  <c r="U415" i="5"/>
  <c r="X406" i="8" s="1"/>
  <c r="AC415" i="5"/>
  <c r="AD415" i="5"/>
  <c r="AL415" i="5"/>
  <c r="F415" i="5"/>
  <c r="E415" i="5"/>
  <c r="H415" i="5"/>
  <c r="I415" i="5"/>
  <c r="R415" i="5"/>
  <c r="T415" i="5"/>
  <c r="AA416" i="5"/>
  <c r="B406" i="4"/>
  <c r="O416" i="5"/>
  <c r="K416" i="5"/>
  <c r="AG416" i="5"/>
  <c r="AF416" i="5"/>
  <c r="C416" i="5"/>
  <c r="L416" i="5"/>
  <c r="N416" i="5"/>
  <c r="U416" i="5"/>
  <c r="AC416" i="5"/>
  <c r="AD416" i="5"/>
  <c r="AL416" i="5"/>
  <c r="F416" i="5"/>
  <c r="E416" i="5" s="1"/>
  <c r="H416" i="5"/>
  <c r="I416" i="5"/>
  <c r="R416" i="5"/>
  <c r="T416" i="5"/>
  <c r="AG2" i="5"/>
  <c r="AF2" i="5"/>
  <c r="B269" i="4"/>
  <c r="K2" i="5"/>
  <c r="AF39" i="8" s="1"/>
  <c r="T2" i="5"/>
  <c r="U2" i="5"/>
  <c r="AI269" i="4"/>
  <c r="F2" i="5"/>
  <c r="L2" i="5"/>
  <c r="N2" i="5"/>
  <c r="O2" i="5"/>
  <c r="H2" i="5"/>
  <c r="I2" i="5" s="1"/>
  <c r="Z2" i="5"/>
  <c r="AZ222" i="1"/>
  <c r="BA222" i="1"/>
  <c r="BB222" i="1"/>
  <c r="CH222" i="1"/>
  <c r="CI222" i="1"/>
  <c r="CJ222" i="1"/>
  <c r="CK222" i="1"/>
  <c r="CL222" i="1"/>
  <c r="BC222" i="1" s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C221" i="1" s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T221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T134" i="1"/>
  <c r="AZ49" i="1"/>
  <c r="BA49" i="1"/>
  <c r="BB49" i="1"/>
  <c r="CH49" i="1"/>
  <c r="CI49" i="1"/>
  <c r="CJ49" i="1"/>
  <c r="BC49" i="1" s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BC48" i="1" s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T48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T325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T24" i="1"/>
  <c r="AZ14" i="1"/>
  <c r="BA14" i="1"/>
  <c r="BB14" i="1"/>
  <c r="CH14" i="1"/>
  <c r="CI14" i="1"/>
  <c r="BC14" i="1" s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T14" i="1"/>
  <c r="AZ50" i="1"/>
  <c r="BA50" i="1"/>
  <c r="BB50" i="1"/>
  <c r="CH50" i="1"/>
  <c r="CI50" i="1"/>
  <c r="CJ50" i="1"/>
  <c r="CK50" i="1"/>
  <c r="CL50" i="1"/>
  <c r="CM50" i="1"/>
  <c r="CN50" i="1"/>
  <c r="BC50" i="1" s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AZ197" i="1"/>
  <c r="BA197" i="1"/>
  <c r="BB197" i="1"/>
  <c r="CH197" i="1"/>
  <c r="CI197" i="1"/>
  <c r="CJ197" i="1"/>
  <c r="CK197" i="1"/>
  <c r="BC197" i="1" s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AZ175" i="1"/>
  <c r="BA175" i="1"/>
  <c r="BB175" i="1"/>
  <c r="CT175" i="1"/>
  <c r="AI309" i="4"/>
  <c r="AI310" i="4"/>
  <c r="AZ427" i="1"/>
  <c r="BA427" i="1"/>
  <c r="BB427" i="1"/>
  <c r="CH427" i="1"/>
  <c r="CI427" i="1"/>
  <c r="BC427" i="1" s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T42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T428" i="1"/>
  <c r="AM49" i="2"/>
  <c r="AJ49" i="2"/>
  <c r="AI49" i="2"/>
  <c r="AH49" i="2"/>
  <c r="AG49" i="2"/>
  <c r="AE49" i="2"/>
  <c r="AD49" i="2"/>
  <c r="AB49" i="2"/>
  <c r="AA49" i="2"/>
  <c r="AA308" i="4"/>
  <c r="AC308" i="4"/>
  <c r="AD308" i="4"/>
  <c r="AE308" i="4"/>
  <c r="AF308" i="4"/>
  <c r="AG308" i="4"/>
  <c r="AH308" i="4"/>
  <c r="AI308" i="4"/>
  <c r="AJ308" i="4"/>
  <c r="AL308" i="4"/>
  <c r="B307" i="5"/>
  <c r="AM307" i="5"/>
  <c r="AO307" i="5"/>
  <c r="AQ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C115" i="7"/>
  <c r="D115" i="7"/>
  <c r="E115" i="7"/>
  <c r="AZ421" i="1"/>
  <c r="BA421" i="1"/>
  <c r="BB421" i="1"/>
  <c r="CH421" i="1"/>
  <c r="CI421" i="1"/>
  <c r="BC421" i="1" s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T42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T231" i="1"/>
  <c r="AZ230" i="1"/>
  <c r="BA230" i="1"/>
  <c r="BB230" i="1"/>
  <c r="CH230" i="1"/>
  <c r="CI230" i="1"/>
  <c r="CJ230" i="1"/>
  <c r="BC230" i="1" s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T230" i="1"/>
  <c r="AA20" i="2"/>
  <c r="AB20" i="2"/>
  <c r="AE20" i="2"/>
  <c r="AH20" i="2"/>
  <c r="AJ20" i="2"/>
  <c r="AK20" i="2"/>
  <c r="AM20" i="2"/>
  <c r="AZ162" i="1"/>
  <c r="BA162" i="1"/>
  <c r="BB162" i="1"/>
  <c r="CH162" i="1"/>
  <c r="CI162" i="1"/>
  <c r="CJ162" i="1"/>
  <c r="CK162" i="1"/>
  <c r="BC162" i="1" s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T16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T163" i="1"/>
  <c r="AZ53" i="1"/>
  <c r="BA53" i="1"/>
  <c r="BB53" i="1"/>
  <c r="CH53" i="1"/>
  <c r="CI53" i="1"/>
  <c r="BC53" i="1" s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T53" i="1"/>
  <c r="AZ52" i="1"/>
  <c r="BA52" i="1"/>
  <c r="BB52" i="1"/>
  <c r="CH52" i="1"/>
  <c r="CI52" i="1"/>
  <c r="CJ52" i="1"/>
  <c r="CK52" i="1"/>
  <c r="CL52" i="1"/>
  <c r="CM52" i="1"/>
  <c r="BC52" i="1" s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T52" i="1"/>
  <c r="D410" i="9"/>
  <c r="F410" i="9"/>
  <c r="E410" i="9"/>
  <c r="D409" i="9"/>
  <c r="F409" i="9"/>
  <c r="E409" i="9"/>
  <c r="D407" i="9"/>
  <c r="F407" i="9"/>
  <c r="E407" i="9"/>
  <c r="D406" i="9"/>
  <c r="F406" i="9"/>
  <c r="E406" i="9"/>
  <c r="D405" i="9"/>
  <c r="F405" i="9"/>
  <c r="E405" i="9"/>
  <c r="D404" i="9"/>
  <c r="F404" i="9"/>
  <c r="E404" i="9"/>
  <c r="D403" i="9"/>
  <c r="F403" i="9"/>
  <c r="E403" i="9"/>
  <c r="D402" i="9"/>
  <c r="F402" i="9"/>
  <c r="E402" i="9"/>
  <c r="D401" i="9"/>
  <c r="F401" i="9"/>
  <c r="E401" i="9"/>
  <c r="D400" i="9"/>
  <c r="F400" i="9"/>
  <c r="E400" i="9"/>
  <c r="D399" i="9"/>
  <c r="F399" i="9"/>
  <c r="E399" i="9"/>
  <c r="D398" i="9"/>
  <c r="F398" i="9"/>
  <c r="E398" i="9"/>
  <c r="D397" i="9"/>
  <c r="F397" i="9"/>
  <c r="E397" i="9"/>
  <c r="D396" i="9"/>
  <c r="F396" i="9"/>
  <c r="E396" i="9"/>
  <c r="D395" i="9"/>
  <c r="F395" i="9"/>
  <c r="E395" i="9"/>
  <c r="D394" i="9"/>
  <c r="F394" i="9"/>
  <c r="E394" i="9"/>
  <c r="D393" i="9"/>
  <c r="F393" i="9"/>
  <c r="E393" i="9"/>
  <c r="D392" i="9"/>
  <c r="F392" i="9"/>
  <c r="E392" i="9"/>
  <c r="D391" i="9"/>
  <c r="F391" i="9"/>
  <c r="E391" i="9"/>
  <c r="D390" i="9"/>
  <c r="F390" i="9"/>
  <c r="E390" i="9"/>
  <c r="D389" i="9"/>
  <c r="F389" i="9"/>
  <c r="E389" i="9"/>
  <c r="D388" i="9"/>
  <c r="F388" i="9"/>
  <c r="E388" i="9"/>
  <c r="D387" i="9"/>
  <c r="F387" i="9"/>
  <c r="E387" i="9"/>
  <c r="D386" i="9"/>
  <c r="F386" i="9"/>
  <c r="E386" i="9"/>
  <c r="D385" i="9"/>
  <c r="F385" i="9"/>
  <c r="E385" i="9"/>
  <c r="D384" i="9"/>
  <c r="F384" i="9"/>
  <c r="E384" i="9"/>
  <c r="D383" i="9"/>
  <c r="F383" i="9"/>
  <c r="E383" i="9"/>
  <c r="D382" i="9"/>
  <c r="F382" i="9"/>
  <c r="E382" i="9"/>
  <c r="D381" i="9"/>
  <c r="F381" i="9"/>
  <c r="E381" i="9"/>
  <c r="D380" i="9"/>
  <c r="F380" i="9"/>
  <c r="E380" i="9"/>
  <c r="D379" i="9"/>
  <c r="F379" i="9"/>
  <c r="E379" i="9"/>
  <c r="D378" i="9"/>
  <c r="F378" i="9"/>
  <c r="E378" i="9"/>
  <c r="D377" i="9"/>
  <c r="F377" i="9"/>
  <c r="E377" i="9"/>
  <c r="D376" i="9"/>
  <c r="F376" i="9"/>
  <c r="E376" i="9"/>
  <c r="D375" i="9"/>
  <c r="F375" i="9"/>
  <c r="E375" i="9"/>
  <c r="D374" i="9"/>
  <c r="F374" i="9"/>
  <c r="E374" i="9"/>
  <c r="D373" i="9"/>
  <c r="F373" i="9"/>
  <c r="E373" i="9"/>
  <c r="D372" i="9"/>
  <c r="F372" i="9"/>
  <c r="E372" i="9"/>
  <c r="D371" i="9"/>
  <c r="F371" i="9"/>
  <c r="E371" i="9"/>
  <c r="D370" i="9"/>
  <c r="F370" i="9"/>
  <c r="E370" i="9"/>
  <c r="D369" i="9"/>
  <c r="F369" i="9"/>
  <c r="E369" i="9"/>
  <c r="D368" i="9"/>
  <c r="F368" i="9"/>
  <c r="E368" i="9"/>
  <c r="D367" i="9"/>
  <c r="F367" i="9"/>
  <c r="E367" i="9"/>
  <c r="D366" i="9"/>
  <c r="F366" i="9"/>
  <c r="E366" i="9"/>
  <c r="D365" i="9"/>
  <c r="F365" i="9"/>
  <c r="E365" i="9"/>
  <c r="D364" i="9"/>
  <c r="F364" i="9"/>
  <c r="E364" i="9"/>
  <c r="D363" i="9"/>
  <c r="F363" i="9"/>
  <c r="E363" i="9"/>
  <c r="D362" i="9"/>
  <c r="F362" i="9"/>
  <c r="E362" i="9"/>
  <c r="D361" i="9"/>
  <c r="F361" i="9"/>
  <c r="E361" i="9"/>
  <c r="D360" i="9"/>
  <c r="F360" i="9"/>
  <c r="E360" i="9"/>
  <c r="D359" i="9"/>
  <c r="F359" i="9"/>
  <c r="E359" i="9"/>
  <c r="D358" i="9"/>
  <c r="F358" i="9"/>
  <c r="E358" i="9"/>
  <c r="D357" i="9"/>
  <c r="F357" i="9"/>
  <c r="E357" i="9"/>
  <c r="D356" i="9"/>
  <c r="F356" i="9"/>
  <c r="E356" i="9"/>
  <c r="D355" i="9"/>
  <c r="F355" i="9"/>
  <c r="E355" i="9"/>
  <c r="D354" i="9"/>
  <c r="F354" i="9"/>
  <c r="E354" i="9"/>
  <c r="D353" i="9"/>
  <c r="F353" i="9"/>
  <c r="E353" i="9"/>
  <c r="D352" i="9"/>
  <c r="F352" i="9"/>
  <c r="E352" i="9"/>
  <c r="D351" i="9"/>
  <c r="F351" i="9"/>
  <c r="E351" i="9"/>
  <c r="D350" i="9"/>
  <c r="F350" i="9"/>
  <c r="E350" i="9"/>
  <c r="D349" i="9"/>
  <c r="F349" i="9"/>
  <c r="E349" i="9"/>
  <c r="D346" i="9"/>
  <c r="F346" i="9"/>
  <c r="E346" i="9"/>
  <c r="D345" i="9"/>
  <c r="F345" i="9"/>
  <c r="E345" i="9"/>
  <c r="D344" i="9"/>
  <c r="F344" i="9"/>
  <c r="E344" i="9"/>
  <c r="D343" i="9"/>
  <c r="F343" i="9"/>
  <c r="E343" i="9"/>
  <c r="D342" i="9"/>
  <c r="F342" i="9"/>
  <c r="E342" i="9"/>
  <c r="D341" i="9"/>
  <c r="F341" i="9"/>
  <c r="E341" i="9"/>
  <c r="D340" i="9"/>
  <c r="F340" i="9"/>
  <c r="E340" i="9"/>
  <c r="D339" i="9"/>
  <c r="F339" i="9"/>
  <c r="E339" i="9"/>
  <c r="D338" i="9"/>
  <c r="F338" i="9"/>
  <c r="E338" i="9"/>
  <c r="D337" i="9"/>
  <c r="F337" i="9"/>
  <c r="E337" i="9"/>
  <c r="D336" i="9"/>
  <c r="F336" i="9"/>
  <c r="E336" i="9"/>
  <c r="D334" i="9"/>
  <c r="F334" i="9"/>
  <c r="E334" i="9"/>
  <c r="D333" i="9"/>
  <c r="F333" i="9"/>
  <c r="E333" i="9"/>
  <c r="D332" i="9"/>
  <c r="F332" i="9"/>
  <c r="E332" i="9"/>
  <c r="D331" i="9"/>
  <c r="F331" i="9"/>
  <c r="E331" i="9"/>
  <c r="D330" i="9"/>
  <c r="F330" i="9"/>
  <c r="E330" i="9"/>
  <c r="D329" i="9"/>
  <c r="F329" i="9"/>
  <c r="E329" i="9"/>
  <c r="D328" i="9"/>
  <c r="F328" i="9"/>
  <c r="E328" i="9"/>
  <c r="D327" i="9"/>
  <c r="F327" i="9"/>
  <c r="E327" i="9"/>
  <c r="D326" i="9"/>
  <c r="F326" i="9"/>
  <c r="E326" i="9"/>
  <c r="D325" i="9"/>
  <c r="F325" i="9"/>
  <c r="E325" i="9"/>
  <c r="D324" i="9"/>
  <c r="F324" i="9"/>
  <c r="E324" i="9"/>
  <c r="D323" i="9"/>
  <c r="F323" i="9"/>
  <c r="E323" i="9"/>
  <c r="D322" i="9"/>
  <c r="F322" i="9"/>
  <c r="E322" i="9"/>
  <c r="D321" i="9"/>
  <c r="F321" i="9"/>
  <c r="E321" i="9"/>
  <c r="D320" i="9"/>
  <c r="F320" i="9"/>
  <c r="E320" i="9"/>
  <c r="D319" i="9"/>
  <c r="F319" i="9"/>
  <c r="E319" i="9"/>
  <c r="D318" i="9"/>
  <c r="F318" i="9"/>
  <c r="E318" i="9"/>
  <c r="D317" i="9"/>
  <c r="F317" i="9"/>
  <c r="E317" i="9"/>
  <c r="D316" i="9"/>
  <c r="F316" i="9"/>
  <c r="E316" i="9"/>
  <c r="D315" i="9"/>
  <c r="F315" i="9"/>
  <c r="E315" i="9"/>
  <c r="D314" i="9"/>
  <c r="F314" i="9"/>
  <c r="E314" i="9"/>
  <c r="D313" i="9"/>
  <c r="F313" i="9"/>
  <c r="E313" i="9"/>
  <c r="D312" i="9"/>
  <c r="F312" i="9"/>
  <c r="E312" i="9"/>
  <c r="D311" i="9"/>
  <c r="F311" i="9"/>
  <c r="E311" i="9"/>
  <c r="D310" i="9"/>
  <c r="F310" i="9"/>
  <c r="E310" i="9"/>
  <c r="D309" i="9"/>
  <c r="F309" i="9"/>
  <c r="E309" i="9"/>
  <c r="D308" i="9"/>
  <c r="F308" i="9"/>
  <c r="E308" i="9"/>
  <c r="D307" i="9"/>
  <c r="F307" i="9"/>
  <c r="E307" i="9"/>
  <c r="D306" i="9"/>
  <c r="F306" i="9"/>
  <c r="E306" i="9"/>
  <c r="D305" i="9"/>
  <c r="F305" i="9"/>
  <c r="E305" i="9"/>
  <c r="D304" i="9"/>
  <c r="F304" i="9"/>
  <c r="E304" i="9"/>
  <c r="D303" i="9"/>
  <c r="F303" i="9"/>
  <c r="E303" i="9"/>
  <c r="D302" i="9"/>
  <c r="F302" i="9"/>
  <c r="E302" i="9"/>
  <c r="D301" i="9"/>
  <c r="F301" i="9"/>
  <c r="E301" i="9"/>
  <c r="D300" i="9"/>
  <c r="F300" i="9"/>
  <c r="E300" i="9"/>
  <c r="D299" i="9"/>
  <c r="F299" i="9"/>
  <c r="E299" i="9"/>
  <c r="D298" i="9"/>
  <c r="F298" i="9"/>
  <c r="E298" i="9"/>
  <c r="D297" i="9"/>
  <c r="F297" i="9"/>
  <c r="E297" i="9"/>
  <c r="D296" i="9"/>
  <c r="F296" i="9"/>
  <c r="E296" i="9"/>
  <c r="D295" i="9"/>
  <c r="F295" i="9"/>
  <c r="E295" i="9"/>
  <c r="D294" i="9"/>
  <c r="F294" i="9"/>
  <c r="E294" i="9"/>
  <c r="D293" i="9"/>
  <c r="F293" i="9"/>
  <c r="E293" i="9"/>
  <c r="D292" i="9"/>
  <c r="F292" i="9"/>
  <c r="E292" i="9"/>
  <c r="D291" i="9"/>
  <c r="F291" i="9"/>
  <c r="E291" i="9"/>
  <c r="D290" i="9"/>
  <c r="F290" i="9"/>
  <c r="E290" i="9"/>
  <c r="D289" i="9"/>
  <c r="F289" i="9"/>
  <c r="E289" i="9"/>
  <c r="D288" i="9"/>
  <c r="F288" i="9"/>
  <c r="E288" i="9"/>
  <c r="D287" i="9"/>
  <c r="F287" i="9"/>
  <c r="E287" i="9"/>
  <c r="D286" i="9"/>
  <c r="F286" i="9"/>
  <c r="E286" i="9"/>
  <c r="D285" i="9"/>
  <c r="F285" i="9"/>
  <c r="E285" i="9"/>
  <c r="D284" i="9"/>
  <c r="F284" i="9"/>
  <c r="E284" i="9"/>
  <c r="D283" i="9"/>
  <c r="F283" i="9"/>
  <c r="E283" i="9"/>
  <c r="D282" i="9"/>
  <c r="F282" i="9"/>
  <c r="E282" i="9"/>
  <c r="D281" i="9"/>
  <c r="F281" i="9"/>
  <c r="E281" i="9"/>
  <c r="D280" i="9"/>
  <c r="F280" i="9"/>
  <c r="E280" i="9"/>
  <c r="D279" i="9"/>
  <c r="F279" i="9"/>
  <c r="E279" i="9"/>
  <c r="D278" i="9"/>
  <c r="F278" i="9"/>
  <c r="E278" i="9"/>
  <c r="D277" i="9"/>
  <c r="F277" i="9"/>
  <c r="E277" i="9"/>
  <c r="D276" i="9"/>
  <c r="F276" i="9"/>
  <c r="E276" i="9"/>
  <c r="D275" i="9"/>
  <c r="F275" i="9"/>
  <c r="E275" i="9"/>
  <c r="D274" i="9"/>
  <c r="F274" i="9"/>
  <c r="E274" i="9"/>
  <c r="D273" i="9"/>
  <c r="F273" i="9"/>
  <c r="E273" i="9"/>
  <c r="D272" i="9"/>
  <c r="F272" i="9"/>
  <c r="E272" i="9"/>
  <c r="D271" i="9"/>
  <c r="F271" i="9"/>
  <c r="E271" i="9"/>
  <c r="D270" i="9"/>
  <c r="F270" i="9"/>
  <c r="E270" i="9"/>
  <c r="D269" i="9"/>
  <c r="F269" i="9"/>
  <c r="E269" i="9"/>
  <c r="D268" i="9"/>
  <c r="F268" i="9"/>
  <c r="E268" i="9"/>
  <c r="D267" i="9"/>
  <c r="F267" i="9"/>
  <c r="E267" i="9"/>
  <c r="D266" i="9"/>
  <c r="F266" i="9"/>
  <c r="E266" i="9"/>
  <c r="D265" i="9"/>
  <c r="F265" i="9"/>
  <c r="E265" i="9"/>
  <c r="D264" i="9"/>
  <c r="F264" i="9"/>
  <c r="E264" i="9"/>
  <c r="D263" i="9"/>
  <c r="F263" i="9"/>
  <c r="E263" i="9"/>
  <c r="D262" i="9"/>
  <c r="F262" i="9"/>
  <c r="E262" i="9"/>
  <c r="D261" i="9"/>
  <c r="F261" i="9"/>
  <c r="E261" i="9"/>
  <c r="D260" i="9"/>
  <c r="F260" i="9"/>
  <c r="E260" i="9"/>
  <c r="D259" i="9"/>
  <c r="F259" i="9"/>
  <c r="E259" i="9"/>
  <c r="D258" i="9"/>
  <c r="F258" i="9"/>
  <c r="E258" i="9"/>
  <c r="D257" i="9"/>
  <c r="F257" i="9"/>
  <c r="E257" i="9"/>
  <c r="D256" i="9"/>
  <c r="F256" i="9"/>
  <c r="E256" i="9"/>
  <c r="D255" i="9"/>
  <c r="F255" i="9"/>
  <c r="E255" i="9"/>
  <c r="D254" i="9"/>
  <c r="F254" i="9"/>
  <c r="E254" i="9"/>
  <c r="D253" i="9"/>
  <c r="F253" i="9"/>
  <c r="E253" i="9"/>
  <c r="D252" i="9"/>
  <c r="F252" i="9"/>
  <c r="E252" i="9"/>
  <c r="D251" i="9"/>
  <c r="F251" i="9"/>
  <c r="E251" i="9"/>
  <c r="D250" i="9"/>
  <c r="F250" i="9"/>
  <c r="E250" i="9"/>
  <c r="D249" i="9"/>
  <c r="F249" i="9"/>
  <c r="E249" i="9"/>
  <c r="D248" i="9"/>
  <c r="F248" i="9"/>
  <c r="E248" i="9"/>
  <c r="D247" i="9"/>
  <c r="F247" i="9"/>
  <c r="E247" i="9"/>
  <c r="D246" i="9"/>
  <c r="F246" i="9"/>
  <c r="E246" i="9"/>
  <c r="D245" i="9"/>
  <c r="F245" i="9"/>
  <c r="E245" i="9"/>
  <c r="D244" i="9"/>
  <c r="F244" i="9"/>
  <c r="E244" i="9"/>
  <c r="D243" i="9"/>
  <c r="F243" i="9"/>
  <c r="E243" i="9"/>
  <c r="D242" i="9"/>
  <c r="F242" i="9"/>
  <c r="E242" i="9"/>
  <c r="D241" i="9"/>
  <c r="F241" i="9"/>
  <c r="E241" i="9"/>
  <c r="D240" i="9"/>
  <c r="F240" i="9"/>
  <c r="E240" i="9"/>
  <c r="D239" i="9"/>
  <c r="F239" i="9"/>
  <c r="E239" i="9"/>
  <c r="D238" i="9"/>
  <c r="F238" i="9"/>
  <c r="E238" i="9"/>
  <c r="D237" i="9"/>
  <c r="F237" i="9"/>
  <c r="E237" i="9"/>
  <c r="D236" i="9"/>
  <c r="F236" i="9"/>
  <c r="E236" i="9"/>
  <c r="D235" i="9"/>
  <c r="F235" i="9"/>
  <c r="E235" i="9"/>
  <c r="D234" i="9"/>
  <c r="F234" i="9"/>
  <c r="E234" i="9"/>
  <c r="D233" i="9"/>
  <c r="F233" i="9"/>
  <c r="E233" i="9"/>
  <c r="D232" i="9"/>
  <c r="F232" i="9"/>
  <c r="E232" i="9"/>
  <c r="D231" i="9"/>
  <c r="F231" i="9"/>
  <c r="E231" i="9"/>
  <c r="D230" i="9"/>
  <c r="F230" i="9"/>
  <c r="E230" i="9"/>
  <c r="D229" i="9"/>
  <c r="F229" i="9"/>
  <c r="E229" i="9"/>
  <c r="D228" i="9"/>
  <c r="F228" i="9"/>
  <c r="E228" i="9"/>
  <c r="D227" i="9"/>
  <c r="F227" i="9"/>
  <c r="E227" i="9"/>
  <c r="D226" i="9"/>
  <c r="F226" i="9"/>
  <c r="E226" i="9"/>
  <c r="D225" i="9"/>
  <c r="F225" i="9"/>
  <c r="E225" i="9"/>
  <c r="D224" i="9"/>
  <c r="F224" i="9"/>
  <c r="E224" i="9"/>
  <c r="D223" i="9"/>
  <c r="F223" i="9"/>
  <c r="E223" i="9"/>
  <c r="D222" i="9"/>
  <c r="F222" i="9"/>
  <c r="E222" i="9"/>
  <c r="D221" i="9"/>
  <c r="F221" i="9"/>
  <c r="E221" i="9"/>
  <c r="D220" i="9"/>
  <c r="F220" i="9"/>
  <c r="E220" i="9"/>
  <c r="D219" i="9"/>
  <c r="F219" i="9"/>
  <c r="E219" i="9"/>
  <c r="D218" i="9"/>
  <c r="F218" i="9"/>
  <c r="E218" i="9"/>
  <c r="D217" i="9"/>
  <c r="F217" i="9"/>
  <c r="E217" i="9"/>
  <c r="D216" i="9"/>
  <c r="F216" i="9"/>
  <c r="E216" i="9"/>
  <c r="D215" i="9"/>
  <c r="F215" i="9"/>
  <c r="E215" i="9"/>
  <c r="D214" i="9"/>
  <c r="F214" i="9"/>
  <c r="E214" i="9"/>
  <c r="D213" i="9"/>
  <c r="F213" i="9"/>
  <c r="E213" i="9"/>
  <c r="D212" i="9"/>
  <c r="F212" i="9"/>
  <c r="E212" i="9"/>
  <c r="D211" i="9"/>
  <c r="F211" i="9"/>
  <c r="E211" i="9"/>
  <c r="D210" i="9"/>
  <c r="F210" i="9"/>
  <c r="E210" i="9"/>
  <c r="D209" i="9"/>
  <c r="F209" i="9"/>
  <c r="E209" i="9"/>
  <c r="D208" i="9"/>
  <c r="F208" i="9"/>
  <c r="E208" i="9"/>
  <c r="D207" i="9"/>
  <c r="F207" i="9"/>
  <c r="E207" i="9"/>
  <c r="D206" i="9"/>
  <c r="F206" i="9"/>
  <c r="E206" i="9"/>
  <c r="D205" i="9"/>
  <c r="F205" i="9"/>
  <c r="E205" i="9"/>
  <c r="D204" i="9"/>
  <c r="F204" i="9"/>
  <c r="E204" i="9"/>
  <c r="D203" i="9"/>
  <c r="F203" i="9"/>
  <c r="E203" i="9"/>
  <c r="D202" i="9"/>
  <c r="F202" i="9"/>
  <c r="E202" i="9"/>
  <c r="D201" i="9"/>
  <c r="F201" i="9"/>
  <c r="E201" i="9"/>
  <c r="D200" i="9"/>
  <c r="F200" i="9"/>
  <c r="E200" i="9"/>
  <c r="D199" i="9"/>
  <c r="F199" i="9"/>
  <c r="E199" i="9"/>
  <c r="D198" i="9"/>
  <c r="F198" i="9"/>
  <c r="E198" i="9"/>
  <c r="D197" i="9"/>
  <c r="F197" i="9"/>
  <c r="E197" i="9"/>
  <c r="D196" i="9"/>
  <c r="F196" i="9"/>
  <c r="E196" i="9"/>
  <c r="D195" i="9"/>
  <c r="F195" i="9"/>
  <c r="E195" i="9"/>
  <c r="D194" i="9"/>
  <c r="F194" i="9"/>
  <c r="E194" i="9"/>
  <c r="D193" i="9"/>
  <c r="F193" i="9"/>
  <c r="E193" i="9"/>
  <c r="D192" i="9"/>
  <c r="F192" i="9"/>
  <c r="E192" i="9"/>
  <c r="D191" i="9"/>
  <c r="F191" i="9"/>
  <c r="E191" i="9"/>
  <c r="D190" i="9"/>
  <c r="F190" i="9"/>
  <c r="E190" i="9"/>
  <c r="D189" i="9"/>
  <c r="F189" i="9"/>
  <c r="E189" i="9"/>
  <c r="D188" i="9"/>
  <c r="F188" i="9"/>
  <c r="E188" i="9"/>
  <c r="D187" i="9"/>
  <c r="F187" i="9"/>
  <c r="E187" i="9"/>
  <c r="D186" i="9"/>
  <c r="F186" i="9"/>
  <c r="E186" i="9"/>
  <c r="D185" i="9"/>
  <c r="F185" i="9"/>
  <c r="E185" i="9"/>
  <c r="D184" i="9"/>
  <c r="F184" i="9"/>
  <c r="E184" i="9"/>
  <c r="D183" i="9"/>
  <c r="F183" i="9"/>
  <c r="E183" i="9"/>
  <c r="D182" i="9"/>
  <c r="F182" i="9"/>
  <c r="E182" i="9"/>
  <c r="D181" i="9"/>
  <c r="F181" i="9"/>
  <c r="E181" i="9"/>
  <c r="D180" i="9"/>
  <c r="F180" i="9"/>
  <c r="E180" i="9"/>
  <c r="D179" i="9"/>
  <c r="F179" i="9"/>
  <c r="E179" i="9"/>
  <c r="D178" i="9"/>
  <c r="F178" i="9"/>
  <c r="E178" i="9"/>
  <c r="D177" i="9"/>
  <c r="F177" i="9"/>
  <c r="E177" i="9"/>
  <c r="D176" i="9"/>
  <c r="F176" i="9"/>
  <c r="E176" i="9"/>
  <c r="D175" i="9"/>
  <c r="F175" i="9"/>
  <c r="E175" i="9"/>
  <c r="D174" i="9"/>
  <c r="F174" i="9"/>
  <c r="E174" i="9"/>
  <c r="D173" i="9"/>
  <c r="F173" i="9"/>
  <c r="E173" i="9"/>
  <c r="D172" i="9"/>
  <c r="F172" i="9"/>
  <c r="E172" i="9"/>
  <c r="D171" i="9"/>
  <c r="F171" i="9"/>
  <c r="E171" i="9"/>
  <c r="D170" i="9"/>
  <c r="F170" i="9"/>
  <c r="E170" i="9"/>
  <c r="D169" i="9"/>
  <c r="F169" i="9"/>
  <c r="E169" i="9"/>
  <c r="D168" i="9"/>
  <c r="F168" i="9"/>
  <c r="E168" i="9"/>
  <c r="D167" i="9"/>
  <c r="F167" i="9"/>
  <c r="E167" i="9"/>
  <c r="D166" i="9"/>
  <c r="F166" i="9"/>
  <c r="E166" i="9"/>
  <c r="D165" i="9"/>
  <c r="F165" i="9"/>
  <c r="E165" i="9"/>
  <c r="D164" i="9"/>
  <c r="F164" i="9"/>
  <c r="E164" i="9"/>
  <c r="D163" i="9"/>
  <c r="F163" i="9"/>
  <c r="E163" i="9"/>
  <c r="D162" i="9"/>
  <c r="F162" i="9"/>
  <c r="E162" i="9"/>
  <c r="D161" i="9"/>
  <c r="F161" i="9"/>
  <c r="E161" i="9"/>
  <c r="D160" i="9"/>
  <c r="F160" i="9"/>
  <c r="E160" i="9"/>
  <c r="D159" i="9"/>
  <c r="F159" i="9"/>
  <c r="E159" i="9"/>
  <c r="D158" i="9"/>
  <c r="F158" i="9"/>
  <c r="E158" i="9"/>
  <c r="D157" i="9"/>
  <c r="F157" i="9"/>
  <c r="E157" i="9"/>
  <c r="D156" i="9"/>
  <c r="F156" i="9"/>
  <c r="E156" i="9"/>
  <c r="D155" i="9"/>
  <c r="F155" i="9"/>
  <c r="E155" i="9"/>
  <c r="D154" i="9"/>
  <c r="F154" i="9"/>
  <c r="E154" i="9"/>
  <c r="D153" i="9"/>
  <c r="F153" i="9"/>
  <c r="E153" i="9"/>
  <c r="D152" i="9"/>
  <c r="F152" i="9"/>
  <c r="E152" i="9"/>
  <c r="D151" i="9"/>
  <c r="F151" i="9"/>
  <c r="E151" i="9"/>
  <c r="D150" i="9"/>
  <c r="F150" i="9"/>
  <c r="E150" i="9"/>
  <c r="D149" i="9"/>
  <c r="F149" i="9"/>
  <c r="E149" i="9"/>
  <c r="D148" i="9"/>
  <c r="F148" i="9"/>
  <c r="E148" i="9"/>
  <c r="D147" i="9"/>
  <c r="F147" i="9"/>
  <c r="E147" i="9"/>
  <c r="D146" i="9"/>
  <c r="F146" i="9"/>
  <c r="E146" i="9"/>
  <c r="D145" i="9"/>
  <c r="F145" i="9"/>
  <c r="E145" i="9"/>
  <c r="D144" i="9"/>
  <c r="F144" i="9"/>
  <c r="E144" i="9"/>
  <c r="D143" i="9"/>
  <c r="F143" i="9"/>
  <c r="E143" i="9"/>
  <c r="D142" i="9"/>
  <c r="F142" i="9"/>
  <c r="E142" i="9"/>
  <c r="D141" i="9"/>
  <c r="F141" i="9"/>
  <c r="E141" i="9"/>
  <c r="D140" i="9"/>
  <c r="F140" i="9"/>
  <c r="E140" i="9"/>
  <c r="D139" i="9"/>
  <c r="F139" i="9"/>
  <c r="E139" i="9"/>
  <c r="D138" i="9"/>
  <c r="F138" i="9"/>
  <c r="E138" i="9"/>
  <c r="D137" i="9"/>
  <c r="F137" i="9"/>
  <c r="E137" i="9"/>
  <c r="D136" i="9"/>
  <c r="F136" i="9"/>
  <c r="E136" i="9"/>
  <c r="D135" i="9"/>
  <c r="F135" i="9"/>
  <c r="E135" i="9"/>
  <c r="D134" i="9"/>
  <c r="F134" i="9"/>
  <c r="E134" i="9"/>
  <c r="D133" i="9"/>
  <c r="F133" i="9"/>
  <c r="E133" i="9"/>
  <c r="D132" i="9"/>
  <c r="F132" i="9"/>
  <c r="E132" i="9"/>
  <c r="D131" i="9"/>
  <c r="F131" i="9"/>
  <c r="E131" i="9"/>
  <c r="D130" i="9"/>
  <c r="F130" i="9"/>
  <c r="E130" i="9"/>
  <c r="D129" i="9"/>
  <c r="F129" i="9"/>
  <c r="E129" i="9"/>
  <c r="D128" i="9"/>
  <c r="F128" i="9"/>
  <c r="E128" i="9"/>
  <c r="D127" i="9"/>
  <c r="F127" i="9"/>
  <c r="E127" i="9"/>
  <c r="D126" i="9"/>
  <c r="F126" i="9"/>
  <c r="E126" i="9"/>
  <c r="D125" i="9"/>
  <c r="F125" i="9"/>
  <c r="E125" i="9"/>
  <c r="D124" i="9"/>
  <c r="F124" i="9"/>
  <c r="E124" i="9"/>
  <c r="D123" i="9"/>
  <c r="F123" i="9"/>
  <c r="E123" i="9"/>
  <c r="D122" i="9"/>
  <c r="F122" i="9"/>
  <c r="E122" i="9"/>
  <c r="D121" i="9"/>
  <c r="F121" i="9"/>
  <c r="E121" i="9"/>
  <c r="D120" i="9"/>
  <c r="F120" i="9"/>
  <c r="E120" i="9"/>
  <c r="D119" i="9"/>
  <c r="F119" i="9"/>
  <c r="E119" i="9"/>
  <c r="D118" i="9"/>
  <c r="F118" i="9"/>
  <c r="E118" i="9"/>
  <c r="D117" i="9"/>
  <c r="F117" i="9"/>
  <c r="E117" i="9"/>
  <c r="D116" i="9"/>
  <c r="F116" i="9"/>
  <c r="E116" i="9"/>
  <c r="D115" i="9"/>
  <c r="F115" i="9"/>
  <c r="E115" i="9"/>
  <c r="D114" i="9"/>
  <c r="F114" i="9"/>
  <c r="E114" i="9"/>
  <c r="D113" i="9"/>
  <c r="F113" i="9"/>
  <c r="E113" i="9"/>
  <c r="D112" i="9"/>
  <c r="F112" i="9"/>
  <c r="E112" i="9"/>
  <c r="D111" i="9"/>
  <c r="F111" i="9"/>
  <c r="E111" i="9"/>
  <c r="D110" i="9"/>
  <c r="F110" i="9"/>
  <c r="E110" i="9"/>
  <c r="D109" i="9"/>
  <c r="F109" i="9"/>
  <c r="E109" i="9"/>
  <c r="D108" i="9"/>
  <c r="F108" i="9"/>
  <c r="E108" i="9"/>
  <c r="D107" i="9"/>
  <c r="F107" i="9"/>
  <c r="E107" i="9"/>
  <c r="D106" i="9"/>
  <c r="F106" i="9"/>
  <c r="E106" i="9"/>
  <c r="D105" i="9"/>
  <c r="F105" i="9"/>
  <c r="E105" i="9"/>
  <c r="D104" i="9"/>
  <c r="F104" i="9"/>
  <c r="E104" i="9"/>
  <c r="D103" i="9"/>
  <c r="F103" i="9"/>
  <c r="E103" i="9"/>
  <c r="D102" i="9"/>
  <c r="F102" i="9"/>
  <c r="E102" i="9"/>
  <c r="D101" i="9"/>
  <c r="F101" i="9"/>
  <c r="E101" i="9"/>
  <c r="D100" i="9"/>
  <c r="F100" i="9"/>
  <c r="E100" i="9"/>
  <c r="D99" i="9"/>
  <c r="F99" i="9"/>
  <c r="E99" i="9"/>
  <c r="D98" i="9"/>
  <c r="F98" i="9"/>
  <c r="E98" i="9"/>
  <c r="D97" i="9"/>
  <c r="F97" i="9"/>
  <c r="E97" i="9"/>
  <c r="D96" i="9"/>
  <c r="F96" i="9"/>
  <c r="E96" i="9"/>
  <c r="D95" i="9"/>
  <c r="F95" i="9"/>
  <c r="E95" i="9"/>
  <c r="D94" i="9"/>
  <c r="F94" i="9"/>
  <c r="E94" i="9"/>
  <c r="D93" i="9"/>
  <c r="F93" i="9"/>
  <c r="E93" i="9"/>
  <c r="D92" i="9"/>
  <c r="F92" i="9"/>
  <c r="E92" i="9"/>
  <c r="D91" i="9"/>
  <c r="F91" i="9"/>
  <c r="E91" i="9"/>
  <c r="D90" i="9"/>
  <c r="F90" i="9"/>
  <c r="E90" i="9"/>
  <c r="D89" i="9"/>
  <c r="F89" i="9"/>
  <c r="E89" i="9"/>
  <c r="D88" i="9"/>
  <c r="F88" i="9"/>
  <c r="E88" i="9"/>
  <c r="D87" i="9"/>
  <c r="F87" i="9"/>
  <c r="E87" i="9"/>
  <c r="D86" i="9"/>
  <c r="F86" i="9"/>
  <c r="E86" i="9"/>
  <c r="D85" i="9"/>
  <c r="F85" i="9"/>
  <c r="E85" i="9"/>
  <c r="D84" i="9"/>
  <c r="F84" i="9"/>
  <c r="E84" i="9"/>
  <c r="D83" i="9"/>
  <c r="F83" i="9"/>
  <c r="E83" i="9"/>
  <c r="D82" i="9"/>
  <c r="F82" i="9"/>
  <c r="E82" i="9"/>
  <c r="D81" i="9"/>
  <c r="F81" i="9"/>
  <c r="E81" i="9"/>
  <c r="D80" i="9"/>
  <c r="F80" i="9"/>
  <c r="E80" i="9"/>
  <c r="D79" i="9"/>
  <c r="F79" i="9"/>
  <c r="E79" i="9"/>
  <c r="D78" i="9"/>
  <c r="F78" i="9"/>
  <c r="E78" i="9"/>
  <c r="D77" i="9"/>
  <c r="F77" i="9"/>
  <c r="E77" i="9"/>
  <c r="D76" i="9"/>
  <c r="F76" i="9"/>
  <c r="E76" i="9"/>
  <c r="D75" i="9"/>
  <c r="F75" i="9"/>
  <c r="E75" i="9"/>
  <c r="D74" i="9"/>
  <c r="F74" i="9"/>
  <c r="E74" i="9"/>
  <c r="D73" i="9"/>
  <c r="F73" i="9"/>
  <c r="E73" i="9"/>
  <c r="D72" i="9"/>
  <c r="F72" i="9"/>
  <c r="E72" i="9"/>
  <c r="D71" i="9"/>
  <c r="F71" i="9"/>
  <c r="E71" i="9"/>
  <c r="D70" i="9"/>
  <c r="F70" i="9"/>
  <c r="E70" i="9"/>
  <c r="D69" i="9"/>
  <c r="F69" i="9"/>
  <c r="E69" i="9"/>
  <c r="D68" i="9"/>
  <c r="F68" i="9"/>
  <c r="E68" i="9"/>
  <c r="D67" i="9"/>
  <c r="F67" i="9"/>
  <c r="E67" i="9"/>
  <c r="D66" i="9"/>
  <c r="F66" i="9"/>
  <c r="E66" i="9"/>
  <c r="D65" i="9"/>
  <c r="F65" i="9"/>
  <c r="E65" i="9"/>
  <c r="D64" i="9"/>
  <c r="F64" i="9"/>
  <c r="E64" i="9"/>
  <c r="D63" i="9"/>
  <c r="F63" i="9"/>
  <c r="E63" i="9"/>
  <c r="D62" i="9"/>
  <c r="F62" i="9"/>
  <c r="E62" i="9"/>
  <c r="D61" i="9"/>
  <c r="F61" i="9"/>
  <c r="E61" i="9"/>
  <c r="D60" i="9"/>
  <c r="F60" i="9"/>
  <c r="E60" i="9"/>
  <c r="D59" i="9"/>
  <c r="F59" i="9"/>
  <c r="E59" i="9"/>
  <c r="D58" i="9"/>
  <c r="F58" i="9"/>
  <c r="E58" i="9"/>
  <c r="D57" i="9"/>
  <c r="F57" i="9"/>
  <c r="E57" i="9"/>
  <c r="D56" i="9"/>
  <c r="F56" i="9"/>
  <c r="E56" i="9"/>
  <c r="D55" i="9"/>
  <c r="F55" i="9"/>
  <c r="E55" i="9"/>
  <c r="D54" i="9"/>
  <c r="F54" i="9"/>
  <c r="E54" i="9"/>
  <c r="D53" i="9"/>
  <c r="F53" i="9"/>
  <c r="E53" i="9"/>
  <c r="D52" i="9"/>
  <c r="F52" i="9"/>
  <c r="E52" i="9"/>
  <c r="D51" i="9"/>
  <c r="F51" i="9"/>
  <c r="E51" i="9"/>
  <c r="D50" i="9"/>
  <c r="F50" i="9"/>
  <c r="E50" i="9"/>
  <c r="D49" i="9"/>
  <c r="F49" i="9"/>
  <c r="E49" i="9"/>
  <c r="D48" i="9"/>
  <c r="F48" i="9"/>
  <c r="E48" i="9"/>
  <c r="D47" i="9"/>
  <c r="F47" i="9"/>
  <c r="E47" i="9"/>
  <c r="D46" i="9"/>
  <c r="F46" i="9"/>
  <c r="E46" i="9"/>
  <c r="D45" i="9"/>
  <c r="F45" i="9"/>
  <c r="E45" i="9"/>
  <c r="D44" i="9"/>
  <c r="F44" i="9"/>
  <c r="E44" i="9"/>
  <c r="D43" i="9"/>
  <c r="F43" i="9"/>
  <c r="E43" i="9"/>
  <c r="D42" i="9"/>
  <c r="F42" i="9"/>
  <c r="E42" i="9"/>
  <c r="D41" i="9"/>
  <c r="F41" i="9"/>
  <c r="E41" i="9"/>
  <c r="D40" i="9"/>
  <c r="F40" i="9"/>
  <c r="E40" i="9"/>
  <c r="D39" i="9"/>
  <c r="F39" i="9"/>
  <c r="E39" i="9"/>
  <c r="D38" i="9"/>
  <c r="F38" i="9"/>
  <c r="E38" i="9"/>
  <c r="D37" i="9"/>
  <c r="F37" i="9"/>
  <c r="E37" i="9"/>
  <c r="D36" i="9"/>
  <c r="F36" i="9"/>
  <c r="E36" i="9"/>
  <c r="D35" i="9"/>
  <c r="F35" i="9"/>
  <c r="E35" i="9"/>
  <c r="D34" i="9"/>
  <c r="F34" i="9"/>
  <c r="E34" i="9"/>
  <c r="D33" i="9"/>
  <c r="F33" i="9"/>
  <c r="E33" i="9"/>
  <c r="D32" i="9"/>
  <c r="F32" i="9"/>
  <c r="E32" i="9"/>
  <c r="D31" i="9"/>
  <c r="F31" i="9"/>
  <c r="E31" i="9"/>
  <c r="D30" i="9"/>
  <c r="F30" i="9"/>
  <c r="E30" i="9"/>
  <c r="D29" i="9"/>
  <c r="F29" i="9"/>
  <c r="E29" i="9"/>
  <c r="D28" i="9"/>
  <c r="F28" i="9"/>
  <c r="E28" i="9"/>
  <c r="D27" i="9"/>
  <c r="F27" i="9"/>
  <c r="E27" i="9"/>
  <c r="D26" i="9"/>
  <c r="F26" i="9"/>
  <c r="E26" i="9"/>
  <c r="D25" i="9"/>
  <c r="F25" i="9"/>
  <c r="E25" i="9"/>
  <c r="D24" i="9"/>
  <c r="F24" i="9"/>
  <c r="E24" i="9"/>
  <c r="D23" i="9"/>
  <c r="F23" i="9"/>
  <c r="E23" i="9"/>
  <c r="D22" i="9"/>
  <c r="F22" i="9"/>
  <c r="E22" i="9"/>
  <c r="D21" i="9"/>
  <c r="F21" i="9"/>
  <c r="E21" i="9"/>
  <c r="D20" i="9"/>
  <c r="F20" i="9"/>
  <c r="E20" i="9"/>
  <c r="D19" i="9"/>
  <c r="F19" i="9"/>
  <c r="E19" i="9"/>
  <c r="D18" i="9"/>
  <c r="F18" i="9"/>
  <c r="E18" i="9"/>
  <c r="D17" i="9"/>
  <c r="F17" i="9"/>
  <c r="E17" i="9"/>
  <c r="D16" i="9"/>
  <c r="F16" i="9"/>
  <c r="E16" i="9"/>
  <c r="D15" i="9"/>
  <c r="F15" i="9"/>
  <c r="E15" i="9"/>
  <c r="D14" i="9"/>
  <c r="F14" i="9"/>
  <c r="E14" i="9"/>
  <c r="D13" i="9"/>
  <c r="F13" i="9"/>
  <c r="E13" i="9"/>
  <c r="D12" i="9"/>
  <c r="F12" i="9"/>
  <c r="E12" i="9"/>
  <c r="D11" i="9"/>
  <c r="F11" i="9"/>
  <c r="E11" i="9"/>
  <c r="D10" i="9"/>
  <c r="F10" i="9"/>
  <c r="E10" i="9"/>
  <c r="D9" i="9"/>
  <c r="F9" i="9"/>
  <c r="E9" i="9"/>
  <c r="D8" i="9"/>
  <c r="F8" i="9"/>
  <c r="E8" i="9"/>
  <c r="D7" i="9"/>
  <c r="F7" i="9"/>
  <c r="E7" i="9"/>
  <c r="D6" i="9"/>
  <c r="F6" i="9"/>
  <c r="E6" i="9"/>
  <c r="D5" i="9"/>
  <c r="F5" i="9"/>
  <c r="E5" i="9"/>
  <c r="D4" i="9"/>
  <c r="F4" i="9"/>
  <c r="E4" i="9"/>
  <c r="D3" i="9"/>
  <c r="F3" i="9"/>
  <c r="E3" i="9"/>
  <c r="D2" i="9"/>
  <c r="F2" i="9"/>
  <c r="E2" i="9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T414" i="1"/>
  <c r="AZ413" i="1"/>
  <c r="BA413" i="1"/>
  <c r="BB413" i="1"/>
  <c r="CH413" i="1"/>
  <c r="CI413" i="1"/>
  <c r="BC413" i="1" s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T413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T419" i="1"/>
  <c r="AA48" i="2"/>
  <c r="AB48" i="2"/>
  <c r="AD48" i="2"/>
  <c r="AE48" i="2"/>
  <c r="AG48" i="2"/>
  <c r="AH48" i="2"/>
  <c r="AI48" i="2"/>
  <c r="AJ48" i="2"/>
  <c r="AM48" i="2"/>
  <c r="AZ418" i="1"/>
  <c r="BA418" i="1"/>
  <c r="BB418" i="1"/>
  <c r="CH418" i="1"/>
  <c r="CI418" i="1"/>
  <c r="CJ418" i="1"/>
  <c r="BC418" i="1" s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T418" i="1"/>
  <c r="AZ420" i="1"/>
  <c r="BA420" i="1"/>
  <c r="BB420" i="1"/>
  <c r="CH420" i="1"/>
  <c r="CI420" i="1"/>
  <c r="CJ420" i="1"/>
  <c r="CK420" i="1"/>
  <c r="CL420" i="1"/>
  <c r="BC420" i="1" s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T420" i="1"/>
  <c r="AA45" i="2"/>
  <c r="AB45" i="2"/>
  <c r="AD45" i="2"/>
  <c r="AE45" i="2"/>
  <c r="AH45" i="2"/>
  <c r="AJ45" i="2"/>
  <c r="AM45" i="2"/>
  <c r="AZ394" i="1"/>
  <c r="BA394" i="1"/>
  <c r="BB394" i="1"/>
  <c r="CH394" i="1"/>
  <c r="CI394" i="1"/>
  <c r="BC394" i="1" s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T394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307" i="1"/>
  <c r="BA307" i="1"/>
  <c r="BB307" i="1"/>
  <c r="CH307" i="1"/>
  <c r="CI307" i="1"/>
  <c r="CJ307" i="1"/>
  <c r="CK307" i="1"/>
  <c r="BC307" i="1" s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T306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T363" i="1"/>
  <c r="AA44" i="2"/>
  <c r="AB44" i="2"/>
  <c r="AE44" i="2"/>
  <c r="AH44" i="2"/>
  <c r="AJ44" i="2"/>
  <c r="AK44" i="2"/>
  <c r="AM44" i="2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T362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T360" i="1"/>
  <c r="AZ361" i="1"/>
  <c r="BA361" i="1"/>
  <c r="BB361" i="1"/>
  <c r="CH361" i="1"/>
  <c r="CI361" i="1"/>
  <c r="BC361" i="1" s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T361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BC158" i="1" s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T158" i="1"/>
  <c r="B15" i="3"/>
  <c r="C15" i="3"/>
  <c r="AA19" i="2"/>
  <c r="AB19" i="2"/>
  <c r="AE19" i="2"/>
  <c r="AH19" i="2"/>
  <c r="AJ19" i="2"/>
  <c r="AK19" i="2"/>
  <c r="AM19" i="2"/>
  <c r="AZ156" i="1"/>
  <c r="BA156" i="1"/>
  <c r="BB156" i="1"/>
  <c r="CH156" i="1"/>
  <c r="CI156" i="1"/>
  <c r="CJ156" i="1"/>
  <c r="CK156" i="1"/>
  <c r="BC156" i="1" s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T156" i="1"/>
  <c r="BA157" i="1"/>
  <c r="BB157" i="1"/>
  <c r="CH157" i="1"/>
  <c r="CI157" i="1"/>
  <c r="CJ157" i="1"/>
  <c r="BC157" i="1" s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T157" i="1"/>
  <c r="AH27" i="4"/>
  <c r="AH16" i="4"/>
  <c r="AH235" i="4"/>
  <c r="AH18" i="4"/>
  <c r="AH20" i="4"/>
  <c r="AH17" i="4"/>
  <c r="AH4" i="4"/>
  <c r="AH35" i="4"/>
  <c r="AH19" i="4"/>
  <c r="AH15" i="4"/>
  <c r="AH244" i="4"/>
  <c r="AH230" i="4"/>
  <c r="AH119" i="4"/>
  <c r="AH127" i="4"/>
  <c r="AH173" i="4"/>
  <c r="AH142" i="4"/>
  <c r="AH290" i="4"/>
  <c r="AH241" i="4"/>
  <c r="AH293" i="4"/>
  <c r="AH219" i="4"/>
  <c r="AH181" i="4"/>
  <c r="AH182" i="4"/>
  <c r="AH169" i="4"/>
  <c r="AH91" i="4"/>
  <c r="AH136" i="4"/>
  <c r="AH138" i="4"/>
  <c r="AH25" i="4"/>
  <c r="AH61" i="4"/>
  <c r="AH137" i="4"/>
  <c r="AH102" i="4"/>
  <c r="AH176" i="4"/>
  <c r="AH175" i="4"/>
  <c r="AH177" i="4"/>
  <c r="AH209" i="4"/>
  <c r="AH179" i="4"/>
  <c r="AH111" i="4"/>
  <c r="AH120" i="4"/>
  <c r="AH284" i="4"/>
  <c r="AH285" i="4"/>
  <c r="AH286" i="4"/>
  <c r="AH282" i="4"/>
  <c r="AH278" i="4"/>
  <c r="AH24" i="4"/>
  <c r="AH87" i="4"/>
  <c r="AH90" i="4"/>
  <c r="AH178" i="4"/>
  <c r="AH236" i="4"/>
  <c r="AH302" i="4"/>
  <c r="AH240" i="4"/>
  <c r="AH14" i="4"/>
  <c r="AH237" i="4"/>
  <c r="AH242" i="4"/>
  <c r="AH68" i="4"/>
  <c r="AH113" i="4"/>
  <c r="AH117" i="4"/>
  <c r="AH67" i="4"/>
  <c r="AH283" i="4"/>
  <c r="AH99" i="4"/>
  <c r="AH62" i="4"/>
  <c r="AH69" i="4"/>
  <c r="AH75" i="4"/>
  <c r="AH131" i="4"/>
  <c r="AH70" i="4"/>
  <c r="AH250" i="4"/>
  <c r="AH74" i="4"/>
  <c r="AH253" i="4"/>
  <c r="AH193" i="4"/>
  <c r="AH79" i="4"/>
  <c r="AH123" i="4"/>
  <c r="AH83" i="4"/>
  <c r="AH84" i="4"/>
  <c r="AH155" i="4"/>
  <c r="AH288" i="4"/>
  <c r="AH245" i="4"/>
  <c r="AH29" i="4"/>
  <c r="AH228" i="4"/>
  <c r="AH23" i="4"/>
  <c r="AH180" i="4"/>
  <c r="AH82" i="4"/>
  <c r="AH141" i="4"/>
  <c r="AH256" i="4"/>
  <c r="AH46" i="4"/>
  <c r="AH31" i="4"/>
  <c r="AH220" i="4"/>
  <c r="AH207" i="4"/>
  <c r="AH77" i="4"/>
  <c r="AH22" i="4"/>
  <c r="AH223" i="4"/>
  <c r="AH194" i="4"/>
  <c r="AH163" i="4"/>
  <c r="AH224" i="4"/>
  <c r="AH189" i="4"/>
  <c r="AH184" i="4"/>
  <c r="AH157" i="4"/>
  <c r="AH114" i="4"/>
  <c r="AH2" i="4"/>
  <c r="AH65" i="4"/>
  <c r="AH229" i="4"/>
  <c r="AH208" i="4"/>
  <c r="AH97" i="4"/>
  <c r="AH63" i="4"/>
  <c r="AH110" i="4"/>
  <c r="AH246" i="4"/>
  <c r="AH144" i="4"/>
  <c r="AH13" i="4"/>
  <c r="AH5" i="4"/>
  <c r="AH267" i="4"/>
  <c r="AH100" i="4"/>
  <c r="AH139" i="4"/>
  <c r="AH101" i="4"/>
  <c r="AH156" i="4"/>
  <c r="AH158" i="4"/>
  <c r="AH159" i="4"/>
  <c r="AH161" i="4"/>
  <c r="AH160" i="4"/>
  <c r="AH217" i="4"/>
  <c r="AH135" i="4"/>
  <c r="AH149" i="4"/>
  <c r="AH150" i="4"/>
  <c r="AH162" i="4"/>
  <c r="AH192" i="4"/>
  <c r="AH188" i="4"/>
  <c r="AH227" i="4"/>
  <c r="AH152" i="4"/>
  <c r="AH197" i="4"/>
  <c r="AH151" i="4"/>
  <c r="AH198" i="4"/>
  <c r="AH153" i="4"/>
  <c r="AH146" i="4"/>
  <c r="AH145" i="4"/>
  <c r="AH140" i="4"/>
  <c r="AH143" i="4"/>
  <c r="AH122" i="4"/>
  <c r="AH47" i="4"/>
  <c r="AH48" i="4"/>
  <c r="AH234" i="4"/>
  <c r="AH233" i="4"/>
  <c r="AH92" i="4"/>
  <c r="AH212" i="4"/>
  <c r="AH213" i="4"/>
  <c r="AH211" i="4"/>
  <c r="AH215" i="4"/>
  <c r="AH214" i="4"/>
  <c r="AH263" i="4"/>
  <c r="AH73" i="4"/>
  <c r="AH268" i="4"/>
  <c r="AH291" i="4"/>
  <c r="AH292" i="4"/>
  <c r="AH71" i="4"/>
  <c r="AH249" i="4"/>
  <c r="AH239" i="4"/>
  <c r="AH301" i="4"/>
  <c r="AH93" i="4"/>
  <c r="AH118" i="4"/>
  <c r="AH72" i="4"/>
  <c r="AH280" i="4"/>
  <c r="AH271" i="4"/>
  <c r="AH289" i="4"/>
  <c r="AH126" i="4"/>
  <c r="AH255" i="4"/>
  <c r="AH190" i="4"/>
  <c r="AH129" i="4"/>
  <c r="AH274" i="4"/>
  <c r="AH281" i="4"/>
  <c r="AH257" i="4"/>
  <c r="AH258" i="4"/>
  <c r="AH199" i="4"/>
  <c r="AH165" i="4"/>
  <c r="AH205" i="4"/>
  <c r="AH8" i="4"/>
  <c r="AH42" i="4"/>
  <c r="AH43" i="4"/>
  <c r="AH44" i="4"/>
  <c r="AH147" i="4"/>
  <c r="AH210" i="4"/>
  <c r="AH191" i="4"/>
  <c r="AH64" i="4"/>
  <c r="AH251" i="4"/>
  <c r="AH196" i="4"/>
  <c r="AH7" i="4"/>
  <c r="AH272" i="4"/>
  <c r="AH195" i="4"/>
  <c r="AH252" i="4"/>
  <c r="AH243" i="4"/>
  <c r="AH33" i="4"/>
  <c r="AH128" i="4"/>
  <c r="AH222" i="4"/>
  <c r="AH248" i="4"/>
  <c r="AH279" i="4"/>
  <c r="AH34" i="4"/>
  <c r="AH32" i="4"/>
  <c r="AH9" i="4"/>
  <c r="AH95" i="4"/>
  <c r="AH287" i="4"/>
  <c r="AH45" i="4"/>
  <c r="AH6" i="4"/>
  <c r="AH273" i="4"/>
  <c r="AH21" i="4"/>
  <c r="AH269" i="4"/>
  <c r="AH296" i="4"/>
  <c r="AH200" i="4"/>
  <c r="AH259" i="4"/>
  <c r="AH98" i="4"/>
  <c r="AH247" i="4"/>
  <c r="AH49" i="4"/>
  <c r="AH30" i="4"/>
  <c r="AH166" i="4"/>
  <c r="AH168" i="4"/>
  <c r="AH167" i="4"/>
  <c r="AH218" i="4"/>
  <c r="AH148" i="4"/>
  <c r="AH154" i="4"/>
  <c r="AH112" i="4"/>
  <c r="AH56" i="4"/>
  <c r="AH80" i="4"/>
  <c r="AH298" i="4"/>
  <c r="AH297" i="4"/>
  <c r="AH81" i="4"/>
  <c r="AH299" i="4"/>
  <c r="AH294" i="4"/>
  <c r="AH130" i="4"/>
  <c r="AH3" i="4"/>
  <c r="AH231" i="4"/>
  <c r="AH254" i="4"/>
  <c r="AH204" i="4"/>
  <c r="AH260" i="4"/>
  <c r="AH225" i="4"/>
  <c r="AH85" i="4"/>
  <c r="AH40" i="4"/>
  <c r="AH66" i="4"/>
  <c r="AH187" i="4"/>
  <c r="AH185" i="4"/>
  <c r="AH295" i="4"/>
  <c r="AH226" i="4"/>
  <c r="AH125" i="4"/>
  <c r="AH124" i="4"/>
  <c r="AH238" i="4"/>
  <c r="AH94" i="4"/>
  <c r="AH172" i="4"/>
  <c r="AH202" i="4"/>
  <c r="AH201" i="4"/>
  <c r="AH132" i="4"/>
  <c r="AH261" i="4"/>
  <c r="AH186" i="4"/>
  <c r="AH89" i="4"/>
  <c r="AH266" i="4"/>
  <c r="AH78" i="4"/>
  <c r="AH203" i="4"/>
  <c r="AH171" i="4"/>
  <c r="AH265" i="4"/>
  <c r="AH54" i="4"/>
  <c r="AH133" i="4"/>
  <c r="AH37" i="4"/>
  <c r="AH26" i="4"/>
  <c r="AH206" i="4"/>
  <c r="AH53" i="4"/>
  <c r="AH38" i="4"/>
  <c r="AH264" i="4"/>
  <c r="AH216" i="4"/>
  <c r="AH96" i="4"/>
  <c r="AH39" i="4"/>
  <c r="AH300" i="4"/>
  <c r="AH59" i="4"/>
  <c r="AH170" i="4"/>
  <c r="AH262" i="4"/>
  <c r="AH52" i="4"/>
  <c r="AH221" i="4"/>
  <c r="AH51" i="4"/>
  <c r="AH88" i="4"/>
  <c r="AH11" i="4"/>
  <c r="AH58" i="4"/>
  <c r="AH183" i="4"/>
  <c r="AH36" i="4"/>
  <c r="AH121" i="4"/>
  <c r="AH41" i="4"/>
  <c r="AH57" i="4"/>
  <c r="AH12" i="4"/>
  <c r="AH50" i="4"/>
  <c r="AH270" i="4"/>
  <c r="AH116" i="4"/>
  <c r="AH55" i="4"/>
  <c r="AH103" i="4"/>
  <c r="AH109" i="4"/>
  <c r="AH10" i="4"/>
  <c r="AH60" i="4"/>
  <c r="AH104" i="4"/>
  <c r="AH107" i="4"/>
  <c r="AH76" i="4"/>
  <c r="AH115" i="4"/>
  <c r="AH108" i="4"/>
  <c r="AH106" i="4"/>
  <c r="AH105" i="4"/>
  <c r="AH318" i="4"/>
  <c r="AH317" i="4"/>
  <c r="AH303" i="4"/>
  <c r="AH304" i="4"/>
  <c r="AH310" i="4"/>
  <c r="AH311" i="4"/>
  <c r="AH312" i="4"/>
  <c r="AH313" i="4"/>
  <c r="AH309" i="4"/>
  <c r="AH314" i="4"/>
  <c r="AH315" i="4"/>
  <c r="AH307" i="4"/>
  <c r="AH316" i="4"/>
  <c r="AH306" i="4"/>
  <c r="AH305" i="4"/>
  <c r="AH349" i="4"/>
  <c r="AH333" i="4"/>
  <c r="AH331" i="4"/>
  <c r="AH332" i="4"/>
  <c r="AH348" i="4"/>
  <c r="AH350" i="4"/>
  <c r="AH336" i="4"/>
  <c r="AH344" i="4"/>
  <c r="AH347" i="4"/>
  <c r="AH346" i="4"/>
  <c r="AH341" i="4"/>
  <c r="AH351" i="4"/>
  <c r="AH321" i="4"/>
  <c r="AH326" i="4"/>
  <c r="AH327" i="4"/>
  <c r="AH328" i="4"/>
  <c r="AH329" i="4"/>
  <c r="AH323" i="4"/>
  <c r="AH324" i="4"/>
  <c r="AH325" i="4"/>
  <c r="AH319" i="4"/>
  <c r="AH338" i="4"/>
  <c r="AH343" i="4"/>
  <c r="AH342" i="4"/>
  <c r="AH330" i="4"/>
  <c r="AH345" i="4"/>
  <c r="AH340" i="4"/>
  <c r="AH322" i="4"/>
  <c r="AH334" i="4"/>
  <c r="AH335" i="4"/>
  <c r="AH337" i="4"/>
  <c r="AH339" i="4"/>
  <c r="AH320" i="4"/>
  <c r="AH357" i="4"/>
  <c r="AH355" i="4"/>
  <c r="AH372" i="4"/>
  <c r="AH373" i="4"/>
  <c r="AH361" i="4"/>
  <c r="AH363" i="4"/>
  <c r="AH362" i="4"/>
  <c r="AH356" i="4"/>
  <c r="AH358" i="4"/>
  <c r="AH359" i="4"/>
  <c r="AH360" i="4"/>
  <c r="AH365" i="4"/>
  <c r="AH366" i="4"/>
  <c r="AH367" i="4"/>
  <c r="AH368" i="4"/>
  <c r="AH369" i="4"/>
  <c r="AH370" i="4"/>
  <c r="AH352" i="4"/>
  <c r="AH364" i="4"/>
  <c r="AH353" i="4"/>
  <c r="AH354" i="4"/>
  <c r="AH371" i="4"/>
  <c r="AH379" i="4"/>
  <c r="AH375" i="4"/>
  <c r="AH383" i="4"/>
  <c r="AH374" i="4"/>
  <c r="AH376" i="4"/>
  <c r="AH378" i="4"/>
  <c r="AH381" i="4"/>
  <c r="AH377" i="4"/>
  <c r="AH380" i="4"/>
  <c r="AH385" i="4"/>
  <c r="AH382" i="4"/>
  <c r="AH390" i="4"/>
  <c r="AH389" i="4"/>
  <c r="AH388" i="4"/>
  <c r="AH387" i="4"/>
  <c r="AH391" i="4"/>
  <c r="AH407" i="4"/>
  <c r="AH404" i="4"/>
  <c r="AH415" i="4"/>
  <c r="AH403" i="4"/>
  <c r="AH402" i="4"/>
  <c r="AH408" i="4"/>
  <c r="AH394" i="4"/>
  <c r="AH395" i="4"/>
  <c r="AH396" i="4"/>
  <c r="AH397" i="4"/>
  <c r="AH398" i="4"/>
  <c r="AH400" i="4"/>
  <c r="AH401" i="4"/>
  <c r="AH409" i="4"/>
  <c r="AH410" i="4"/>
  <c r="AH411" i="4"/>
  <c r="AH413" i="4"/>
  <c r="AH414" i="4"/>
  <c r="AH406" i="4"/>
  <c r="AH416" i="4"/>
  <c r="AH412" i="4"/>
  <c r="AH405" i="4"/>
  <c r="AH393" i="4"/>
  <c r="AH392" i="4"/>
  <c r="AH399" i="4"/>
  <c r="AH174" i="4"/>
  <c r="AA14" i="2"/>
  <c r="AB14" i="2"/>
  <c r="AD14" i="2"/>
  <c r="AE14" i="2"/>
  <c r="AF14" i="2"/>
  <c r="AG14" i="2"/>
  <c r="AH14" i="2"/>
  <c r="AI14" i="2"/>
  <c r="AJ14" i="2"/>
  <c r="AK14" i="2"/>
  <c r="AM14" i="2"/>
  <c r="AZ23" i="1"/>
  <c r="BA23" i="1"/>
  <c r="BB23" i="1"/>
  <c r="CH23" i="1"/>
  <c r="CI23" i="1"/>
  <c r="CJ23" i="1"/>
  <c r="BC23" i="1" s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BC25" i="1" s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T15" i="1"/>
  <c r="AZ277" i="1"/>
  <c r="BA277" i="1"/>
  <c r="BB277" i="1"/>
  <c r="CH277" i="1"/>
  <c r="CI277" i="1"/>
  <c r="BC277" i="1" s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T277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T387" i="1"/>
  <c r="AZ302" i="1"/>
  <c r="BA302" i="1"/>
  <c r="BB302" i="1"/>
  <c r="CH302" i="1"/>
  <c r="CI302" i="1"/>
  <c r="BC302" i="1" s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T302" i="1"/>
  <c r="AZ299" i="1"/>
  <c r="BA299" i="1"/>
  <c r="BB299" i="1"/>
  <c r="CH299" i="1"/>
  <c r="CI299" i="1"/>
  <c r="CJ299" i="1"/>
  <c r="BC299" i="1" s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T299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BC184" i="1" s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T18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82" i="1"/>
  <c r="BA182" i="1"/>
  <c r="BB182" i="1"/>
  <c r="CH182" i="1"/>
  <c r="CI182" i="1"/>
  <c r="CJ182" i="1"/>
  <c r="BC182" i="1" s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T18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BA28" i="1"/>
  <c r="BA80" i="1"/>
  <c r="BA79" i="1"/>
  <c r="BA126" i="1"/>
  <c r="BA124" i="1"/>
  <c r="BA128" i="1"/>
  <c r="BA129" i="1"/>
  <c r="BA130" i="1"/>
  <c r="BA131" i="1"/>
  <c r="BA289" i="1"/>
  <c r="BA300" i="1"/>
  <c r="BA301" i="1"/>
  <c r="BA386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8" i="1"/>
  <c r="BA89" i="1"/>
  <c r="BA90" i="1"/>
  <c r="BA92" i="1"/>
  <c r="BA93" i="1"/>
  <c r="BA97" i="1"/>
  <c r="BA98" i="1"/>
  <c r="BA99" i="1"/>
  <c r="BA100" i="1"/>
  <c r="BA101" i="1"/>
  <c r="BA104" i="1"/>
  <c r="BA105" i="1"/>
  <c r="BA107" i="1"/>
  <c r="BA108" i="1"/>
  <c r="BA103" i="1"/>
  <c r="BA110" i="1"/>
  <c r="BA106" i="1"/>
  <c r="BA102" i="1"/>
  <c r="BA111" i="1"/>
  <c r="BA109" i="1"/>
  <c r="BA118" i="1"/>
  <c r="BA133" i="1"/>
  <c r="BA125" i="1"/>
  <c r="BA119" i="1"/>
  <c r="BA132" i="1"/>
  <c r="BA120" i="1"/>
  <c r="BA121" i="1"/>
  <c r="BA122" i="1"/>
  <c r="BA123" i="1"/>
  <c r="BA148" i="1"/>
  <c r="BA150" i="1"/>
  <c r="BA151" i="1"/>
  <c r="BA149" i="1"/>
  <c r="BA169" i="1"/>
  <c r="BA170" i="1"/>
  <c r="BA173" i="1"/>
  <c r="BA174" i="1"/>
  <c r="BA183" i="1"/>
  <c r="BA193" i="1"/>
  <c r="BA194" i="1"/>
  <c r="BA195" i="1"/>
  <c r="BA402" i="1"/>
  <c r="BA406" i="1"/>
  <c r="BA405" i="1"/>
  <c r="BA404" i="1"/>
  <c r="BA403" i="1"/>
  <c r="BA206" i="1"/>
  <c r="BA207" i="1"/>
  <c r="BA209" i="1"/>
  <c r="BA208" i="1"/>
  <c r="BA213" i="1"/>
  <c r="BA214" i="1"/>
  <c r="BA220" i="1"/>
  <c r="BA219" i="1"/>
  <c r="BA218" i="1"/>
  <c r="BA227" i="1"/>
  <c r="BA228" i="1"/>
  <c r="BA411" i="1"/>
  <c r="BA410" i="1"/>
  <c r="BA412" i="1"/>
  <c r="BA437" i="1"/>
  <c r="BA438" i="1"/>
  <c r="BA439" i="1"/>
  <c r="BA440" i="1"/>
  <c r="BA441" i="1"/>
  <c r="BA442" i="1"/>
  <c r="BA240" i="1"/>
  <c r="BA241" i="1"/>
  <c r="BA242" i="1"/>
  <c r="BA243" i="1"/>
  <c r="BA244" i="1"/>
  <c r="BA245" i="1"/>
  <c r="BA272" i="1"/>
  <c r="BA273" i="1"/>
  <c r="BA276" i="1"/>
  <c r="BA275" i="1"/>
  <c r="BA274" i="1"/>
  <c r="BA278" i="1"/>
  <c r="BA279" i="1"/>
  <c r="BA280" i="1"/>
  <c r="BA281" i="1"/>
  <c r="BA282" i="1"/>
  <c r="BA283" i="1"/>
  <c r="BA284" i="1"/>
  <c r="BA287" i="1"/>
  <c r="BA288" i="1"/>
  <c r="BA292" i="1"/>
  <c r="BA294" i="1"/>
  <c r="BA293" i="1"/>
  <c r="BA295" i="1"/>
  <c r="BA296" i="1"/>
  <c r="BA303" i="1"/>
  <c r="BA304" i="1"/>
  <c r="BA305" i="1"/>
  <c r="BA297" i="1"/>
  <c r="BA298" i="1"/>
  <c r="BA323" i="1"/>
  <c r="BA324" i="1"/>
  <c r="BA328" i="1"/>
  <c r="BA329" i="1"/>
  <c r="BA330" i="1"/>
  <c r="BA331" i="1"/>
  <c r="BA332" i="1"/>
  <c r="BA344" i="1"/>
  <c r="BA345" i="1"/>
  <c r="BA351" i="1"/>
  <c r="BA353" i="1"/>
  <c r="BA352" i="1"/>
  <c r="BA354" i="1"/>
  <c r="BA355" i="1"/>
  <c r="BA356" i="1"/>
  <c r="BA357" i="1"/>
  <c r="BA358" i="1"/>
  <c r="BA359" i="1"/>
  <c r="BA380" i="1"/>
  <c r="BA381" i="1"/>
  <c r="BA449" i="1"/>
  <c r="BA451" i="1"/>
  <c r="BA450" i="1"/>
  <c r="BA453" i="1"/>
  <c r="BA454" i="1"/>
  <c r="BA455" i="1"/>
  <c r="BA456" i="1"/>
  <c r="BA452" i="1"/>
  <c r="BA385" i="1"/>
  <c r="BA29" i="1"/>
  <c r="AZ29" i="1"/>
  <c r="AA3" i="2"/>
  <c r="AD3" i="2"/>
  <c r="AE3" i="2"/>
  <c r="AF3" i="2"/>
  <c r="AG3" i="2"/>
  <c r="AH3" i="2"/>
  <c r="AJ3" i="2"/>
  <c r="AK3" i="2"/>
  <c r="AM3" i="2"/>
  <c r="AZ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T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B169" i="1"/>
  <c r="AZ169" i="1"/>
  <c r="BB301" i="1"/>
  <c r="BB4" i="1"/>
  <c r="BB13" i="1"/>
  <c r="BB298" i="1"/>
  <c r="BB300" i="1"/>
  <c r="BB303" i="1"/>
  <c r="BB304" i="1"/>
  <c r="BB305" i="1"/>
  <c r="BB323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8" i="1"/>
  <c r="BB89" i="1"/>
  <c r="BB90" i="1"/>
  <c r="BB92" i="1"/>
  <c r="BB93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8" i="1"/>
  <c r="BB119" i="1"/>
  <c r="BB120" i="1"/>
  <c r="BB121" i="1"/>
  <c r="BB122" i="1"/>
  <c r="BB123" i="1"/>
  <c r="BB124" i="1"/>
  <c r="BB125" i="1"/>
  <c r="BB126" i="1"/>
  <c r="BB128" i="1"/>
  <c r="BB129" i="1"/>
  <c r="BB130" i="1"/>
  <c r="BB131" i="1"/>
  <c r="BB132" i="1"/>
  <c r="BB133" i="1"/>
  <c r="BB148" i="1"/>
  <c r="BB149" i="1"/>
  <c r="BB150" i="1"/>
  <c r="BB151" i="1"/>
  <c r="BB173" i="1"/>
  <c r="BB174" i="1"/>
  <c r="BB183" i="1"/>
  <c r="BB193" i="1"/>
  <c r="BB194" i="1"/>
  <c r="BB195" i="1"/>
  <c r="BB402" i="1"/>
  <c r="BB403" i="1"/>
  <c r="BB404" i="1"/>
  <c r="BB405" i="1"/>
  <c r="BB406" i="1"/>
  <c r="BB206" i="1"/>
  <c r="BB207" i="1"/>
  <c r="BB208" i="1"/>
  <c r="BB209" i="1"/>
  <c r="BB213" i="1"/>
  <c r="BB214" i="1"/>
  <c r="BB218" i="1"/>
  <c r="BB219" i="1"/>
  <c r="BB220" i="1"/>
  <c r="BB227" i="1"/>
  <c r="BB228" i="1"/>
  <c r="BB410" i="1"/>
  <c r="BB411" i="1"/>
  <c r="BB412" i="1"/>
  <c r="BB437" i="1"/>
  <c r="BB438" i="1"/>
  <c r="BB439" i="1"/>
  <c r="BB440" i="1"/>
  <c r="BB441" i="1"/>
  <c r="BB442" i="1"/>
  <c r="BB240" i="1"/>
  <c r="BB241" i="1"/>
  <c r="BB242" i="1"/>
  <c r="BB243" i="1"/>
  <c r="BB244" i="1"/>
  <c r="BB245" i="1"/>
  <c r="BB272" i="1"/>
  <c r="BB273" i="1"/>
  <c r="BB274" i="1"/>
  <c r="BB275" i="1"/>
  <c r="BB276" i="1"/>
  <c r="BB278" i="1"/>
  <c r="BB279" i="1"/>
  <c r="BB280" i="1"/>
  <c r="BB281" i="1"/>
  <c r="BB282" i="1"/>
  <c r="BB283" i="1"/>
  <c r="BB284" i="1"/>
  <c r="BB287" i="1"/>
  <c r="BB288" i="1"/>
  <c r="BB289" i="1"/>
  <c r="BB292" i="1"/>
  <c r="BB293" i="1"/>
  <c r="BB294" i="1"/>
  <c r="BB295" i="1"/>
  <c r="BB296" i="1"/>
  <c r="BB297" i="1"/>
  <c r="BB39" i="1"/>
  <c r="BB40" i="1"/>
  <c r="BB41" i="1"/>
  <c r="AZ39" i="1"/>
  <c r="AZ300" i="1"/>
  <c r="AZ301" i="1"/>
  <c r="AZ303" i="1"/>
  <c r="AZ304" i="1"/>
  <c r="AZ30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BC133" i="1" s="1"/>
  <c r="CK133" i="1"/>
  <c r="CL133" i="1"/>
  <c r="CM133" i="1"/>
  <c r="CN133" i="1"/>
  <c r="CO133" i="1"/>
  <c r="CP133" i="1"/>
  <c r="CQ133" i="1"/>
  <c r="CR133" i="1"/>
  <c r="CS133" i="1"/>
  <c r="CT13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BC43" i="1" s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BC42" i="1" s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BC220" i="1" s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BC219" i="1" s="1"/>
  <c r="CP219" i="1"/>
  <c r="CQ219" i="1"/>
  <c r="CR219" i="1"/>
  <c r="CS219" i="1"/>
  <c r="CT21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BC38" i="1" s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BC324" i="1" s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BC244" i="1" s="1"/>
  <c r="CS244" i="1"/>
  <c r="CT244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BC353" i="1" s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BC352" i="1" s="1"/>
  <c r="CN352" i="1"/>
  <c r="CO352" i="1"/>
  <c r="CP352" i="1"/>
  <c r="CQ352" i="1"/>
  <c r="CR352" i="1"/>
  <c r="CS352" i="1"/>
  <c r="CT352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BC89" i="1" s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BC440" i="1" s="1"/>
  <c r="CJ440" i="1"/>
  <c r="CK440" i="1"/>
  <c r="CL440" i="1"/>
  <c r="CM440" i="1"/>
  <c r="CN440" i="1"/>
  <c r="CO440" i="1"/>
  <c r="CP440" i="1"/>
  <c r="CQ440" i="1"/>
  <c r="CR440" i="1"/>
  <c r="CS440" i="1"/>
  <c r="CT440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BC80" i="1" s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BC410" i="1" s="1"/>
  <c r="CJ410" i="1"/>
  <c r="CK410" i="1"/>
  <c r="CL410" i="1"/>
  <c r="CM410" i="1"/>
  <c r="CN410" i="1"/>
  <c r="CO410" i="1"/>
  <c r="CP410" i="1"/>
  <c r="CQ410" i="1"/>
  <c r="CR410" i="1"/>
  <c r="CS410" i="1"/>
  <c r="CT41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BC284" i="1" s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C108" i="1" s="1"/>
  <c r="CT108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BC35" i="1" s="1"/>
  <c r="CM35" i="1"/>
  <c r="CN35" i="1"/>
  <c r="CO35" i="1"/>
  <c r="CP35" i="1"/>
  <c r="CQ35" i="1"/>
  <c r="CR35" i="1"/>
  <c r="CS35" i="1"/>
  <c r="CT35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BC33" i="1" s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BC78" i="1" s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BC241" i="1" s="1"/>
  <c r="CS241" i="1"/>
  <c r="CT24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BC119" i="1" s="1"/>
  <c r="CS119" i="1"/>
  <c r="CT11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BC298" i="1" s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BC27" i="1" s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BC92" i="1" s="1"/>
  <c r="CJ92" i="1"/>
  <c r="CK92" i="1"/>
  <c r="CL92" i="1"/>
  <c r="CM92" i="1"/>
  <c r="CN92" i="1"/>
  <c r="CO92" i="1"/>
  <c r="CP92" i="1"/>
  <c r="CQ92" i="1"/>
  <c r="CR92" i="1"/>
  <c r="CS92" i="1"/>
  <c r="CT92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BC97" i="1" s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BC206" i="1" s="1"/>
  <c r="CO206" i="1"/>
  <c r="CP206" i="1"/>
  <c r="CQ206" i="1"/>
  <c r="CR206" i="1"/>
  <c r="CS206" i="1"/>
  <c r="CT20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BC11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61" i="4"/>
  <c r="AF30" i="4"/>
  <c r="AF297" i="4"/>
  <c r="AF147" i="4"/>
  <c r="AF87" i="4"/>
  <c r="AF124" i="4"/>
  <c r="AF125" i="4"/>
  <c r="AF132" i="4"/>
  <c r="AF66" i="4"/>
  <c r="AF63" i="4"/>
  <c r="AF102" i="4"/>
  <c r="AF269" i="4"/>
  <c r="AF280" i="4"/>
  <c r="AF190" i="4"/>
  <c r="AF129" i="4"/>
  <c r="AF274" i="4"/>
  <c r="AF281" i="4"/>
  <c r="AF64" i="4"/>
  <c r="AF251" i="4"/>
  <c r="AF191" i="4"/>
  <c r="AF279" i="4"/>
  <c r="AF287" i="4"/>
  <c r="AF130" i="4"/>
  <c r="AF262" i="4"/>
  <c r="AF270" i="4"/>
  <c r="AF263" i="4"/>
  <c r="AF196" i="4"/>
  <c r="AF257" i="4"/>
  <c r="AF258" i="4"/>
  <c r="AF112" i="4"/>
  <c r="AF222" i="4"/>
  <c r="AF266" i="4"/>
  <c r="AF265" i="4"/>
  <c r="AF181" i="4"/>
  <c r="AF182" i="4"/>
  <c r="AF46" i="4"/>
  <c r="AF101" i="4"/>
  <c r="AF43" i="4"/>
  <c r="AF44" i="4"/>
  <c r="AF49" i="4"/>
  <c r="AF47" i="4"/>
  <c r="AF223" i="4"/>
  <c r="AF194" i="4"/>
  <c r="AF220" i="4"/>
  <c r="AF229" i="4"/>
  <c r="AF211" i="4"/>
  <c r="AF215" i="4"/>
  <c r="AF210" i="4"/>
  <c r="AF203" i="4"/>
  <c r="AF202" i="4"/>
  <c r="AF140" i="4"/>
  <c r="AF214" i="4"/>
  <c r="AF22" i="4"/>
  <c r="AF41" i="4"/>
  <c r="AF23" i="4"/>
  <c r="AF233" i="4"/>
  <c r="AF234" i="4"/>
  <c r="AF45" i="4"/>
  <c r="AF42" i="4"/>
  <c r="AF212" i="4"/>
  <c r="AF213" i="4"/>
  <c r="AF16" i="4"/>
  <c r="AF17" i="4"/>
  <c r="AF19" i="4"/>
  <c r="AF20" i="4"/>
  <c r="AF13" i="4"/>
  <c r="AF33" i="4"/>
  <c r="AF34" i="4"/>
  <c r="AF32" i="4"/>
  <c r="AF2" i="4"/>
  <c r="AF65" i="4"/>
  <c r="AF169" i="4"/>
  <c r="AF91" i="4"/>
  <c r="AF289" i="4"/>
  <c r="AF3" i="4"/>
  <c r="AF236" i="4"/>
  <c r="AF31" i="4"/>
  <c r="AF120" i="4"/>
  <c r="AF136" i="4"/>
  <c r="AF138" i="4"/>
  <c r="AF25" i="4"/>
  <c r="AF90" i="4"/>
  <c r="AF205" i="4"/>
  <c r="AF272" i="4"/>
  <c r="AF127" i="4"/>
  <c r="AF70" i="4"/>
  <c r="AF197" i="4"/>
  <c r="AF21" i="4"/>
  <c r="AF295" i="4"/>
  <c r="AF238" i="4"/>
  <c r="AF261" i="4"/>
  <c r="AF216" i="4"/>
  <c r="AF175" i="4"/>
  <c r="AF177" i="4"/>
  <c r="AF48" i="4"/>
  <c r="AF118" i="4"/>
  <c r="AF163" i="4"/>
  <c r="AF151" i="4"/>
  <c r="AF198" i="4"/>
  <c r="AF253" i="4"/>
  <c r="AF224" i="4"/>
  <c r="AF100" i="4"/>
  <c r="AF14" i="4"/>
  <c r="AF278" i="4"/>
  <c r="AF240" i="4"/>
  <c r="AF189" i="4"/>
  <c r="AF162" i="4"/>
  <c r="AF184" i="4"/>
  <c r="AF173" i="4"/>
  <c r="AF284" i="4"/>
  <c r="AF142" i="4"/>
  <c r="AF290" i="4"/>
  <c r="AF24" i="4"/>
  <c r="AF302" i="4"/>
  <c r="AF237" i="4"/>
  <c r="AF113" i="4"/>
  <c r="AF117" i="4"/>
  <c r="AF250" i="4"/>
  <c r="AF29" i="4"/>
  <c r="AF79" i="4"/>
  <c r="AF123" i="4"/>
  <c r="AF83" i="4"/>
  <c r="AF84" i="4"/>
  <c r="AF131" i="4"/>
  <c r="AF74" i="4"/>
  <c r="AF155" i="4"/>
  <c r="AF288" i="4"/>
  <c r="AF245" i="4"/>
  <c r="AF180" i="4"/>
  <c r="AF141" i="4"/>
  <c r="AF82" i="4"/>
  <c r="AF256" i="4"/>
  <c r="AF77" i="4"/>
  <c r="AF157" i="4"/>
  <c r="AF208" i="4"/>
  <c r="AF97" i="4"/>
  <c r="AF246" i="4"/>
  <c r="AF139" i="4"/>
  <c r="AF156" i="4"/>
  <c r="AF161" i="4"/>
  <c r="AF135" i="4"/>
  <c r="AF143" i="4"/>
  <c r="AF122" i="4"/>
  <c r="AF145" i="4"/>
  <c r="AF92" i="4"/>
  <c r="AF93" i="4"/>
  <c r="AF239" i="4"/>
  <c r="AF301" i="4"/>
  <c r="AF71" i="4"/>
  <c r="AF72" i="4"/>
  <c r="AF126" i="4"/>
  <c r="AF199" i="4"/>
  <c r="AF165" i="4"/>
  <c r="AF248" i="4"/>
  <c r="AF252" i="4"/>
  <c r="AF128" i="4"/>
  <c r="AF98" i="4"/>
  <c r="AF200" i="4"/>
  <c r="AF148" i="4"/>
  <c r="AF218" i="4"/>
  <c r="AF166" i="4"/>
  <c r="AF168" i="4"/>
  <c r="AF80" i="4"/>
  <c r="AF204" i="4"/>
  <c r="AF187" i="4"/>
  <c r="AF201" i="4"/>
  <c r="AF78" i="4"/>
  <c r="AF133" i="4"/>
  <c r="AF206" i="4"/>
  <c r="AF38" i="4"/>
  <c r="AF39" i="4"/>
  <c r="AF300" i="4"/>
  <c r="AF170" i="4"/>
  <c r="AF52" i="4"/>
  <c r="AF58" i="4"/>
  <c r="AF36" i="4"/>
  <c r="AF121" i="4"/>
  <c r="AF50" i="4"/>
  <c r="AF109" i="4"/>
  <c r="AF60" i="4"/>
  <c r="AF76" i="4"/>
  <c r="AF108" i="4"/>
  <c r="AF105" i="4"/>
  <c r="AF174" i="4"/>
  <c r="AF15" i="4"/>
  <c r="AF285" i="4"/>
  <c r="AF114" i="4"/>
  <c r="AF243" i="4"/>
  <c r="AF247" i="4"/>
  <c r="AF4" i="4"/>
  <c r="AF244" i="4"/>
  <c r="AF241" i="4"/>
  <c r="AF110" i="4"/>
  <c r="AF56" i="4"/>
  <c r="AF167" i="4"/>
  <c r="AF37" i="4"/>
  <c r="AF18" i="4"/>
  <c r="AF219" i="4"/>
  <c r="AF282" i="4"/>
  <c r="AF267" i="4"/>
  <c r="AF73" i="4"/>
  <c r="AF81" i="4"/>
  <c r="AF185" i="4"/>
  <c r="AF221" i="4"/>
  <c r="AF230" i="4"/>
  <c r="AF293" i="4"/>
  <c r="AF242" i="4"/>
  <c r="AF160" i="4"/>
  <c r="AF89" i="4"/>
  <c r="AF55" i="4"/>
  <c r="AF286" i="4"/>
  <c r="AF144" i="4"/>
  <c r="AF35" i="4"/>
  <c r="AF255" i="4"/>
  <c r="AF298" i="4"/>
  <c r="AF299" i="4"/>
  <c r="AF254" i="4"/>
  <c r="AF54" i="4"/>
  <c r="AF26" i="4"/>
  <c r="AF53" i="4"/>
  <c r="AF59" i="4"/>
  <c r="AF95" i="4"/>
  <c r="AF294" i="4"/>
  <c r="AF225" i="4"/>
  <c r="AF186" i="4"/>
  <c r="AF264" i="4"/>
  <c r="AF94" i="4"/>
  <c r="AF119" i="4"/>
  <c r="AF217" i="4"/>
  <c r="AF271" i="4"/>
  <c r="AF85" i="4"/>
  <c r="AF96" i="4"/>
  <c r="AF7" i="4"/>
  <c r="AF195" i="4"/>
  <c r="AF249" i="4"/>
  <c r="AF5" i="4"/>
  <c r="AF8" i="4"/>
  <c r="AF9" i="4"/>
  <c r="AF6" i="4"/>
  <c r="AF231" i="4"/>
  <c r="AF67" i="4"/>
  <c r="AF68" i="4"/>
  <c r="AF99" i="4"/>
  <c r="AF62" i="4"/>
  <c r="AF69" i="4"/>
  <c r="AF75" i="4"/>
  <c r="AF183" i="4"/>
  <c r="AF178" i="4"/>
  <c r="AF111" i="4"/>
  <c r="AF273" i="4"/>
  <c r="AF40" i="4"/>
  <c r="AF149" i="4"/>
  <c r="AF152" i="4"/>
  <c r="AF153" i="4"/>
  <c r="AF150" i="4"/>
  <c r="AF227" i="4"/>
  <c r="AF283" i="4"/>
  <c r="AF193" i="4"/>
  <c r="AF228" i="4"/>
  <c r="AF207" i="4"/>
  <c r="AF159" i="4"/>
  <c r="AF172" i="4"/>
  <c r="AF171" i="4"/>
  <c r="AF51" i="4"/>
  <c r="AF103" i="4"/>
  <c r="AF104" i="4"/>
  <c r="AF107" i="4"/>
  <c r="AF115" i="4"/>
  <c r="AF106" i="4"/>
  <c r="AF268" i="4"/>
  <c r="AF154" i="4"/>
  <c r="AF88" i="4"/>
  <c r="AF226" i="4"/>
  <c r="AF235" i="4"/>
  <c r="AF176" i="4"/>
  <c r="AF57" i="4"/>
  <c r="AF291" i="4"/>
  <c r="AF292" i="4"/>
  <c r="AF10" i="4"/>
  <c r="AF158" i="4"/>
  <c r="AF260" i="4"/>
  <c r="AF116" i="4"/>
  <c r="AF11" i="4"/>
  <c r="AF296" i="4"/>
  <c r="AF137" i="4"/>
  <c r="AF146" i="4"/>
  <c r="AF192" i="4"/>
  <c r="AF209" i="4"/>
  <c r="AF179" i="4"/>
  <c r="AF12" i="4"/>
  <c r="AF259" i="4"/>
  <c r="AF188" i="4"/>
  <c r="AF316" i="4"/>
  <c r="AF318" i="4"/>
  <c r="AF303" i="4"/>
  <c r="AF304" i="4"/>
  <c r="AF309" i="4"/>
  <c r="AF314" i="4"/>
  <c r="AF315" i="4"/>
  <c r="AF307" i="4"/>
  <c r="AF310" i="4"/>
  <c r="AF311" i="4"/>
  <c r="AF312" i="4"/>
  <c r="AF306" i="4"/>
  <c r="AF305" i="4"/>
  <c r="AF317" i="4"/>
  <c r="AF313" i="4"/>
  <c r="AF336" i="4"/>
  <c r="AF334" i="4"/>
  <c r="AF335" i="4"/>
  <c r="AF333" i="4"/>
  <c r="AF331" i="4"/>
  <c r="AF332" i="4"/>
  <c r="AF321" i="4"/>
  <c r="AF326" i="4"/>
  <c r="AF327" i="4"/>
  <c r="AF328" i="4"/>
  <c r="AF329" i="4"/>
  <c r="AF322" i="4"/>
  <c r="AF348" i="4"/>
  <c r="AF330" i="4"/>
  <c r="AF349" i="4"/>
  <c r="AF344" i="4"/>
  <c r="AF347" i="4"/>
  <c r="AF346" i="4"/>
  <c r="AF345" i="4"/>
  <c r="AF350" i="4"/>
  <c r="AF351" i="4"/>
  <c r="AF338" i="4"/>
  <c r="AF341" i="4"/>
  <c r="AF343" i="4"/>
  <c r="AF340" i="4"/>
  <c r="AF342" i="4"/>
  <c r="AF323" i="4"/>
  <c r="AF324" i="4"/>
  <c r="AF325" i="4"/>
  <c r="AF319" i="4"/>
  <c r="AF337" i="4"/>
  <c r="AF339" i="4"/>
  <c r="AF320" i="4"/>
  <c r="AF372" i="4"/>
  <c r="AF373" i="4"/>
  <c r="AF352" i="4"/>
  <c r="AF364" i="4"/>
  <c r="AF353" i="4"/>
  <c r="AF354" i="4"/>
  <c r="AF370" i="4"/>
  <c r="AF357" i="4"/>
  <c r="AF371" i="4"/>
  <c r="AF358" i="4"/>
  <c r="AF359" i="4"/>
  <c r="AF360" i="4"/>
  <c r="AF365" i="4"/>
  <c r="AF366" i="4"/>
  <c r="AF367" i="4"/>
  <c r="AF368" i="4"/>
  <c r="AF369" i="4"/>
  <c r="AF361" i="4"/>
  <c r="AF363" i="4"/>
  <c r="AF362" i="4"/>
  <c r="AF355" i="4"/>
  <c r="AF356" i="4"/>
  <c r="AF379" i="4"/>
  <c r="AF375" i="4"/>
  <c r="AF383" i="4"/>
  <c r="AF374" i="4"/>
  <c r="AF376" i="4"/>
  <c r="AF378" i="4"/>
  <c r="AF381" i="4"/>
  <c r="AF377" i="4"/>
  <c r="AF380" i="4"/>
  <c r="AF382" i="4"/>
  <c r="AF385" i="4"/>
  <c r="AF389" i="4"/>
  <c r="AF387" i="4"/>
  <c r="AF388" i="4"/>
  <c r="AF391" i="4"/>
  <c r="AF390" i="4"/>
  <c r="AF407" i="4"/>
  <c r="AF405" i="4"/>
  <c r="AF392" i="4"/>
  <c r="AF394" i="4"/>
  <c r="AF395" i="4"/>
  <c r="AF396" i="4"/>
  <c r="AF397" i="4"/>
  <c r="AF398" i="4"/>
  <c r="AF400" i="4"/>
  <c r="AF401" i="4"/>
  <c r="AF402" i="4"/>
  <c r="AF399" i="4"/>
  <c r="AF404" i="4"/>
  <c r="AF393" i="4"/>
  <c r="AF403" i="4"/>
  <c r="AF408" i="4"/>
  <c r="AF412" i="4"/>
  <c r="AF409" i="4"/>
  <c r="AF410" i="4"/>
  <c r="AF415" i="4"/>
  <c r="AF411" i="4"/>
  <c r="AF413" i="4"/>
  <c r="AF414" i="4"/>
  <c r="AF406" i="4"/>
  <c r="AF416" i="4"/>
  <c r="AF27" i="4"/>
  <c r="AE235" i="4"/>
  <c r="BC118" i="5"/>
  <c r="B8" i="3"/>
  <c r="C8" i="3"/>
  <c r="B10" i="3"/>
  <c r="C10" i="3"/>
  <c r="AA2" i="2"/>
  <c r="AD2" i="2"/>
  <c r="AE2" i="2"/>
  <c r="AF2" i="2"/>
  <c r="AG2" i="2"/>
  <c r="AH2" i="2"/>
  <c r="AI2" i="2"/>
  <c r="AK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83" i="1"/>
  <c r="BC183" i="1"/>
  <c r="AZ195" i="1"/>
  <c r="CH195" i="1"/>
  <c r="CI195" i="1"/>
  <c r="BC195" i="1" s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T195" i="1"/>
  <c r="AL16" i="4"/>
  <c r="AL27" i="4"/>
  <c r="AL17" i="4"/>
  <c r="AL19" i="4"/>
  <c r="AL20" i="4"/>
  <c r="AL13" i="4"/>
  <c r="AL33" i="4"/>
  <c r="AL34" i="4"/>
  <c r="AL2" i="4"/>
  <c r="AL65" i="4"/>
  <c r="AL63" i="4"/>
  <c r="AL30" i="4"/>
  <c r="AL169" i="4"/>
  <c r="AL102" i="4"/>
  <c r="AL91" i="4"/>
  <c r="AL181" i="4"/>
  <c r="AL61" i="4"/>
  <c r="AL289" i="4"/>
  <c r="AL3" i="4"/>
  <c r="AL178" i="4"/>
  <c r="AL236" i="4"/>
  <c r="AL31" i="4"/>
  <c r="AL176" i="4"/>
  <c r="AL120" i="4"/>
  <c r="AL111" i="4"/>
  <c r="AL182" i="4"/>
  <c r="AL136" i="4"/>
  <c r="AL137" i="4"/>
  <c r="AL273" i="4"/>
  <c r="AL179" i="4"/>
  <c r="AL127" i="4"/>
  <c r="AL70" i="4"/>
  <c r="AL46" i="4"/>
  <c r="AL101" i="4"/>
  <c r="AL146" i="4"/>
  <c r="AL197" i="4"/>
  <c r="AL43" i="4"/>
  <c r="AL44" i="4"/>
  <c r="AL45" i="4"/>
  <c r="AL21" i="4"/>
  <c r="AL49" i="4"/>
  <c r="AL295" i="4"/>
  <c r="AL238" i="4"/>
  <c r="AL261" i="4"/>
  <c r="AL216" i="4"/>
  <c r="AL57" i="4"/>
  <c r="AL40" i="4"/>
  <c r="AL175" i="4"/>
  <c r="AL177" i="4"/>
  <c r="AL149" i="4"/>
  <c r="AL152" i="4"/>
  <c r="AL153" i="4"/>
  <c r="AL48" i="4"/>
  <c r="AL118" i="4"/>
  <c r="AL269" i="4"/>
  <c r="AL163" i="4"/>
  <c r="AL192" i="4"/>
  <c r="AL150" i="4"/>
  <c r="AL151" i="4"/>
  <c r="AL198" i="4"/>
  <c r="AL253" i="4"/>
  <c r="AL224" i="4"/>
  <c r="AL100" i="4"/>
  <c r="AL227" i="4"/>
  <c r="AL47" i="4"/>
  <c r="AL14" i="4"/>
  <c r="AL209" i="4"/>
  <c r="AL278" i="4"/>
  <c r="AL240" i="4"/>
  <c r="AL223" i="4"/>
  <c r="AL194" i="4"/>
  <c r="AL189" i="4"/>
  <c r="AL173" i="4"/>
  <c r="AL284" i="4"/>
  <c r="AL142" i="4"/>
  <c r="AL290" i="4"/>
  <c r="AL24" i="4"/>
  <c r="AL302" i="4"/>
  <c r="AL237" i="4"/>
  <c r="AL283" i="4"/>
  <c r="AL113" i="4"/>
  <c r="AL117" i="4"/>
  <c r="AL250" i="4"/>
  <c r="AL29" i="4"/>
  <c r="AL79" i="4"/>
  <c r="AL123" i="4"/>
  <c r="AL83" i="4"/>
  <c r="AL84" i="4"/>
  <c r="AL131" i="4"/>
  <c r="AL74" i="4"/>
  <c r="AL155" i="4"/>
  <c r="AL193" i="4"/>
  <c r="AL288" i="4"/>
  <c r="AL228" i="4"/>
  <c r="AL245" i="4"/>
  <c r="AL180" i="4"/>
  <c r="AL141" i="4"/>
  <c r="AL82" i="4"/>
  <c r="AL256" i="4"/>
  <c r="AL207" i="4"/>
  <c r="AL220" i="4"/>
  <c r="AL77" i="4"/>
  <c r="AL157" i="4"/>
  <c r="AL229" i="4"/>
  <c r="AL208" i="4"/>
  <c r="AL97" i="4"/>
  <c r="AL246" i="4"/>
  <c r="AL139" i="4"/>
  <c r="AL156" i="4"/>
  <c r="AL159" i="4"/>
  <c r="AL161" i="4"/>
  <c r="AL135" i="4"/>
  <c r="AL143" i="4"/>
  <c r="AL122" i="4"/>
  <c r="AL145" i="4"/>
  <c r="AL92" i="4"/>
  <c r="AL211" i="4"/>
  <c r="AL212" i="4"/>
  <c r="AL213" i="4"/>
  <c r="AL215" i="4"/>
  <c r="AL291" i="4"/>
  <c r="AL292" i="4"/>
  <c r="AL93" i="4"/>
  <c r="AL239" i="4"/>
  <c r="AL301" i="4"/>
  <c r="AL71" i="4"/>
  <c r="AL72" i="4"/>
  <c r="AL280" i="4"/>
  <c r="AL126" i="4"/>
  <c r="AL190" i="4"/>
  <c r="AL129" i="4"/>
  <c r="AL274" i="4"/>
  <c r="AL281" i="4"/>
  <c r="AL64" i="4"/>
  <c r="AL251" i="4"/>
  <c r="AL191" i="4"/>
  <c r="AL147" i="4"/>
  <c r="AL210" i="4"/>
  <c r="AL199" i="4"/>
  <c r="AL165" i="4"/>
  <c r="AL248" i="4"/>
  <c r="AL252" i="4"/>
  <c r="AL128" i="4"/>
  <c r="AL279" i="4"/>
  <c r="AL287" i="4"/>
  <c r="AL98" i="4"/>
  <c r="AL259" i="4"/>
  <c r="AL200" i="4"/>
  <c r="AL148" i="4"/>
  <c r="AL218" i="4"/>
  <c r="AL166" i="4"/>
  <c r="AL168" i="4"/>
  <c r="AL80" i="4"/>
  <c r="AL130" i="4"/>
  <c r="AL204" i="4"/>
  <c r="AL187" i="4"/>
  <c r="AL124" i="4"/>
  <c r="AL172" i="4"/>
  <c r="AL201" i="4"/>
  <c r="AL266" i="4"/>
  <c r="AL78" i="4"/>
  <c r="AL203" i="4"/>
  <c r="AL171" i="4"/>
  <c r="AL265" i="4"/>
  <c r="AL133" i="4"/>
  <c r="AL206" i="4"/>
  <c r="AL38" i="4"/>
  <c r="AL39" i="4"/>
  <c r="AL300" i="4"/>
  <c r="AL170" i="4"/>
  <c r="AL262" i="4"/>
  <c r="AL52" i="4"/>
  <c r="AL51" i="4"/>
  <c r="AL58" i="4"/>
  <c r="AL36" i="4"/>
  <c r="AL121" i="4"/>
  <c r="AL50" i="4"/>
  <c r="AL270" i="4"/>
  <c r="AL103" i="4"/>
  <c r="AL109" i="4"/>
  <c r="AL10" i="4"/>
  <c r="AL60" i="4"/>
  <c r="AL104" i="4"/>
  <c r="AL107" i="4"/>
  <c r="AL76" i="4"/>
  <c r="AL115" i="4"/>
  <c r="AL108" i="4"/>
  <c r="AL105" i="4"/>
  <c r="AL268" i="4"/>
  <c r="AL174" i="4"/>
  <c r="AL15" i="4"/>
  <c r="AL285" i="4"/>
  <c r="AL114" i="4"/>
  <c r="AL158" i="4"/>
  <c r="AL243" i="4"/>
  <c r="AL247" i="4"/>
  <c r="AL202" i="4"/>
  <c r="AL4" i="4"/>
  <c r="AL244" i="4"/>
  <c r="AL241" i="4"/>
  <c r="AL110" i="4"/>
  <c r="AL140" i="4"/>
  <c r="AL56" i="4"/>
  <c r="AL167" i="4"/>
  <c r="AL37" i="4"/>
  <c r="AL18" i="4"/>
  <c r="AL219" i="4"/>
  <c r="AL282" i="4"/>
  <c r="AL267" i="4"/>
  <c r="AL73" i="4"/>
  <c r="AL81" i="4"/>
  <c r="AL185" i="4"/>
  <c r="AL221" i="4"/>
  <c r="AL230" i="4"/>
  <c r="AL293" i="4"/>
  <c r="AL242" i="4"/>
  <c r="AL160" i="4"/>
  <c r="AL214" i="4"/>
  <c r="AL125" i="4"/>
  <c r="AL89" i="4"/>
  <c r="AL55" i="4"/>
  <c r="AL35" i="4"/>
  <c r="AL22" i="4"/>
  <c r="AL255" i="4"/>
  <c r="AL196" i="4"/>
  <c r="AL154" i="4"/>
  <c r="AL298" i="4"/>
  <c r="AL299" i="4"/>
  <c r="AL254" i="4"/>
  <c r="AL54" i="4"/>
  <c r="AL26" i="4"/>
  <c r="AL53" i="4"/>
  <c r="AL59" i="4"/>
  <c r="AL88" i="4"/>
  <c r="AL41" i="4"/>
  <c r="AL12" i="4"/>
  <c r="AL257" i="4"/>
  <c r="AL258" i="4"/>
  <c r="AL95" i="4"/>
  <c r="AL297" i="4"/>
  <c r="AL294" i="4"/>
  <c r="AL225" i="4"/>
  <c r="AL226" i="4"/>
  <c r="AL186" i="4"/>
  <c r="AL264" i="4"/>
  <c r="AL112" i="4"/>
  <c r="AL66" i="4"/>
  <c r="AL94" i="4"/>
  <c r="AL119" i="4"/>
  <c r="AL217" i="4"/>
  <c r="AL188" i="4"/>
  <c r="AL271" i="4"/>
  <c r="AL85" i="4"/>
  <c r="AL96" i="4"/>
  <c r="AL11" i="4"/>
  <c r="AL7" i="4"/>
  <c r="AL195" i="4"/>
  <c r="AL249" i="4"/>
  <c r="AL5" i="4"/>
  <c r="AL8" i="4"/>
  <c r="AL9" i="4"/>
  <c r="AL6" i="4"/>
  <c r="AL231" i="4"/>
  <c r="AL67" i="4"/>
  <c r="AL68" i="4"/>
  <c r="AL99" i="4"/>
  <c r="AL62" i="4"/>
  <c r="AL69" i="4"/>
  <c r="AL75" i="4"/>
  <c r="AL233" i="4"/>
  <c r="AL234" i="4"/>
  <c r="AL222" i="4"/>
  <c r="AL296" i="4"/>
  <c r="AL183" i="4"/>
  <c r="AL318" i="4"/>
  <c r="AL317" i="4"/>
  <c r="AL303" i="4"/>
  <c r="AL304" i="4"/>
  <c r="AL309" i="4"/>
  <c r="AL314" i="4"/>
  <c r="AL315" i="4"/>
  <c r="AL307" i="4"/>
  <c r="AL316" i="4"/>
  <c r="AL310" i="4"/>
  <c r="AL311" i="4"/>
  <c r="AL312" i="4"/>
  <c r="AL313" i="4"/>
  <c r="AL306" i="4"/>
  <c r="AL305" i="4"/>
  <c r="AL333" i="4"/>
  <c r="AL331" i="4"/>
  <c r="AL332" i="4"/>
  <c r="AL336" i="4"/>
  <c r="AL321" i="4"/>
  <c r="AL323" i="4"/>
  <c r="AL324" i="4"/>
  <c r="AL325" i="4"/>
  <c r="AL319" i="4"/>
  <c r="AL326" i="4"/>
  <c r="AL327" i="4"/>
  <c r="AL328" i="4"/>
  <c r="AL329" i="4"/>
  <c r="AL322" i="4"/>
  <c r="AL334" i="4"/>
  <c r="AL335" i="4"/>
  <c r="AL349" i="4"/>
  <c r="AL348" i="4"/>
  <c r="AL344" i="4"/>
  <c r="AL347" i="4"/>
  <c r="AL346" i="4"/>
  <c r="AL330" i="4"/>
  <c r="AL345" i="4"/>
  <c r="AL337" i="4"/>
  <c r="AL339" i="4"/>
  <c r="AL320" i="4"/>
  <c r="AL350" i="4"/>
  <c r="AL338" i="4"/>
  <c r="AL341" i="4"/>
  <c r="AL343" i="4"/>
  <c r="AL340" i="4"/>
  <c r="AL342" i="4"/>
  <c r="AL351" i="4"/>
  <c r="AL357" i="4"/>
  <c r="AL358" i="4"/>
  <c r="AL372" i="4"/>
  <c r="AL373" i="4"/>
  <c r="AL355" i="4"/>
  <c r="AL359" i="4"/>
  <c r="AL360" i="4"/>
  <c r="AL365" i="4"/>
  <c r="AL356" i="4"/>
  <c r="AL366" i="4"/>
  <c r="AL367" i="4"/>
  <c r="AL368" i="4"/>
  <c r="AL361" i="4"/>
  <c r="AL363" i="4"/>
  <c r="AL362" i="4"/>
  <c r="AL352" i="4"/>
  <c r="AL364" i="4"/>
  <c r="AL353" i="4"/>
  <c r="AL354" i="4"/>
  <c r="AL371" i="4"/>
  <c r="AL369" i="4"/>
  <c r="AL370" i="4"/>
  <c r="AL379" i="4"/>
  <c r="AL375" i="4"/>
  <c r="AL383" i="4"/>
  <c r="AL374" i="4"/>
  <c r="AL376" i="4"/>
  <c r="AL378" i="4"/>
  <c r="AL381" i="4"/>
  <c r="AL385" i="4"/>
  <c r="AL377" i="4"/>
  <c r="AL380" i="4"/>
  <c r="AL382" i="4"/>
  <c r="AL387" i="4"/>
  <c r="AL388" i="4"/>
  <c r="AL389" i="4"/>
  <c r="AL390" i="4"/>
  <c r="AL391" i="4"/>
  <c r="AL407" i="4"/>
  <c r="AL405" i="4"/>
  <c r="AL392" i="4"/>
  <c r="AL394" i="4"/>
  <c r="AL395" i="4"/>
  <c r="AL396" i="4"/>
  <c r="AL397" i="4"/>
  <c r="AL398" i="4"/>
  <c r="AL400" i="4"/>
  <c r="AL401" i="4"/>
  <c r="AL402" i="4"/>
  <c r="AL399" i="4"/>
  <c r="AL404" i="4"/>
  <c r="AL393" i="4"/>
  <c r="AL403" i="4"/>
  <c r="AL408" i="4"/>
  <c r="AL412" i="4"/>
  <c r="AL409" i="4"/>
  <c r="AL410" i="4"/>
  <c r="AL415" i="4"/>
  <c r="AL411" i="4"/>
  <c r="AL413" i="4"/>
  <c r="AL414" i="4"/>
  <c r="AL406" i="4"/>
  <c r="AL416" i="4"/>
  <c r="AL32" i="4"/>
  <c r="AL138" i="4"/>
  <c r="AL25" i="4"/>
  <c r="AL90" i="4"/>
  <c r="AL205" i="4"/>
  <c r="AL272" i="4"/>
  <c r="AL87" i="4"/>
  <c r="AL162" i="4"/>
  <c r="AL42" i="4"/>
  <c r="AL184" i="4"/>
  <c r="AL286" i="4"/>
  <c r="AL144" i="4"/>
  <c r="AL263" i="4"/>
  <c r="AL260" i="4"/>
  <c r="AL132" i="4"/>
  <c r="AL116" i="4"/>
  <c r="AL23" i="4"/>
  <c r="AL235" i="4"/>
  <c r="AA21" i="2"/>
  <c r="AE21" i="2"/>
  <c r="AH21" i="2"/>
  <c r="AM21" i="2"/>
  <c r="AZ193" i="1"/>
  <c r="BC193" i="1"/>
  <c r="AZ194" i="1"/>
  <c r="BC194" i="1"/>
  <c r="AZ295" i="1"/>
  <c r="BC295" i="1"/>
  <c r="AZ294" i="1"/>
  <c r="AZ111" i="1"/>
  <c r="AZ456" i="1"/>
  <c r="BB456" i="1"/>
  <c r="AZ455" i="1"/>
  <c r="BC455" i="1"/>
  <c r="BB455" i="1"/>
  <c r="AZ276" i="1"/>
  <c r="BC276" i="1"/>
  <c r="AZ275" i="1"/>
  <c r="BC275" i="1"/>
  <c r="AZ43" i="1"/>
  <c r="AZ42" i="1"/>
  <c r="AZ41" i="1"/>
  <c r="BC41" i="1"/>
  <c r="AZ40" i="1"/>
  <c r="BC40" i="1"/>
  <c r="AZ133" i="1"/>
  <c r="AZ132" i="1"/>
  <c r="AZ47" i="1"/>
  <c r="BC47" i="1"/>
  <c r="AZ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8" i="1"/>
  <c r="AZ89" i="1"/>
  <c r="AZ90" i="1"/>
  <c r="AZ92" i="1"/>
  <c r="AZ93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8" i="1"/>
  <c r="AZ119" i="1"/>
  <c r="AZ120" i="1"/>
  <c r="AZ121" i="1"/>
  <c r="AZ122" i="1"/>
  <c r="AZ123" i="1"/>
  <c r="AZ124" i="1"/>
  <c r="AZ125" i="1"/>
  <c r="AZ126" i="1"/>
  <c r="AZ128" i="1"/>
  <c r="AZ129" i="1"/>
  <c r="AZ130" i="1"/>
  <c r="AZ131" i="1"/>
  <c r="AZ148" i="1"/>
  <c r="AZ149" i="1"/>
  <c r="AZ150" i="1"/>
  <c r="AZ151" i="1"/>
  <c r="AZ173" i="1"/>
  <c r="AZ174" i="1"/>
  <c r="AZ206" i="1"/>
  <c r="AZ207" i="1"/>
  <c r="AZ208" i="1"/>
  <c r="AZ209" i="1"/>
  <c r="AZ213" i="1"/>
  <c r="AZ214" i="1"/>
  <c r="AZ218" i="1"/>
  <c r="AZ219" i="1"/>
  <c r="AZ220" i="1"/>
  <c r="AZ227" i="1"/>
  <c r="AZ228" i="1"/>
  <c r="AZ240" i="1"/>
  <c r="AZ241" i="1"/>
  <c r="AZ242" i="1"/>
  <c r="AZ243" i="1"/>
  <c r="AZ244" i="1"/>
  <c r="AZ245" i="1"/>
  <c r="AZ272" i="1"/>
  <c r="AZ273" i="1"/>
  <c r="AZ274" i="1"/>
  <c r="AZ278" i="1"/>
  <c r="AZ279" i="1"/>
  <c r="AZ280" i="1"/>
  <c r="AZ281" i="1"/>
  <c r="AZ282" i="1"/>
  <c r="AZ283" i="1"/>
  <c r="AZ284" i="1"/>
  <c r="AZ287" i="1"/>
  <c r="AZ288" i="1"/>
  <c r="AZ289" i="1"/>
  <c r="AZ292" i="1"/>
  <c r="AZ293" i="1"/>
  <c r="AZ296" i="1"/>
  <c r="AZ297" i="1"/>
  <c r="AZ298" i="1"/>
  <c r="AZ323" i="1"/>
  <c r="AZ324" i="1"/>
  <c r="AZ328" i="1"/>
  <c r="AZ329" i="1"/>
  <c r="AZ330" i="1"/>
  <c r="AZ331" i="1"/>
  <c r="AZ332" i="1"/>
  <c r="AZ344" i="1"/>
  <c r="AZ345" i="1"/>
  <c r="AZ351" i="1"/>
  <c r="AZ352" i="1"/>
  <c r="AZ353" i="1"/>
  <c r="AZ354" i="1"/>
  <c r="AZ355" i="1"/>
  <c r="AZ356" i="1"/>
  <c r="AZ357" i="1"/>
  <c r="AZ358" i="1"/>
  <c r="AZ359" i="1"/>
  <c r="AZ380" i="1"/>
  <c r="AZ381" i="1"/>
  <c r="AZ385" i="1"/>
  <c r="AZ386" i="1"/>
  <c r="AZ402" i="1"/>
  <c r="AZ403" i="1"/>
  <c r="AZ404" i="1"/>
  <c r="AZ405" i="1"/>
  <c r="AZ406" i="1"/>
  <c r="AZ410" i="1"/>
  <c r="AZ411" i="1"/>
  <c r="AZ412" i="1"/>
  <c r="AZ437" i="1"/>
  <c r="AZ438" i="1"/>
  <c r="AZ439" i="1"/>
  <c r="AZ440" i="1"/>
  <c r="AZ441" i="1"/>
  <c r="AZ442" i="1"/>
  <c r="AZ449" i="1"/>
  <c r="AZ450" i="1"/>
  <c r="AZ451" i="1"/>
  <c r="AZ452" i="1"/>
  <c r="AZ453" i="1"/>
  <c r="AZ454" i="1"/>
  <c r="AZ2" i="1"/>
  <c r="BC45" i="1"/>
  <c r="BB454" i="1"/>
  <c r="BC454" i="1"/>
  <c r="BB453" i="1"/>
  <c r="BB452" i="1"/>
  <c r="BC452" i="1"/>
  <c r="BB451" i="1"/>
  <c r="BB450" i="1"/>
  <c r="BC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BC449" i="1" s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B449" i="1"/>
  <c r="BC442" i="1"/>
  <c r="BC441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BC439" i="1" s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C438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C411" i="1"/>
  <c r="CT406" i="1"/>
  <c r="CS406" i="1"/>
  <c r="CR406" i="1"/>
  <c r="CQ406" i="1"/>
  <c r="CP406" i="1"/>
  <c r="CO406" i="1"/>
  <c r="CN406" i="1"/>
  <c r="CM406" i="1"/>
  <c r="CL406" i="1"/>
  <c r="CK406" i="1"/>
  <c r="CJ406" i="1"/>
  <c r="BC406" i="1" s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C405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C403" i="1"/>
  <c r="BC402" i="1"/>
  <c r="BB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BC385" i="1" s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B381" i="1"/>
  <c r="BC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B357" i="1"/>
  <c r="BB356" i="1"/>
  <c r="BC356" i="1"/>
  <c r="BB355" i="1"/>
  <c r="BC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BC354" i="1" s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B354" i="1"/>
  <c r="BB353" i="1"/>
  <c r="BB352" i="1"/>
  <c r="CT351" i="1"/>
  <c r="CS351" i="1"/>
  <c r="CR351" i="1"/>
  <c r="CQ351" i="1"/>
  <c r="CP351" i="1"/>
  <c r="CO351" i="1"/>
  <c r="CN351" i="1"/>
  <c r="BC351" i="1" s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B345" i="1"/>
  <c r="BC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BC344" i="1" s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B344" i="1"/>
  <c r="BB332" i="1"/>
  <c r="BB331" i="1"/>
  <c r="BC331" i="1"/>
  <c r="CT330" i="1"/>
  <c r="CS330" i="1"/>
  <c r="CR330" i="1"/>
  <c r="CQ330" i="1"/>
  <c r="CP330" i="1"/>
  <c r="BC330" i="1" s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B330" i="1"/>
  <c r="BB329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BC328" i="1" s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B324" i="1"/>
  <c r="CT323" i="1"/>
  <c r="CS323" i="1"/>
  <c r="CR323" i="1"/>
  <c r="CQ323" i="1"/>
  <c r="CP323" i="1"/>
  <c r="CO323" i="1"/>
  <c r="CN323" i="1"/>
  <c r="CM323" i="1"/>
  <c r="CL323" i="1"/>
  <c r="CK323" i="1"/>
  <c r="CJ323" i="1"/>
  <c r="BC323" i="1" s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C300" i="1"/>
  <c r="BC297" i="1"/>
  <c r="CT296" i="1"/>
  <c r="CS296" i="1"/>
  <c r="CR296" i="1"/>
  <c r="CQ296" i="1"/>
  <c r="CP296" i="1"/>
  <c r="CO296" i="1"/>
  <c r="BC296" i="1" s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C293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C289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BC283" i="1" s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CT281" i="1"/>
  <c r="CS281" i="1"/>
  <c r="CR281" i="1"/>
  <c r="CQ281" i="1"/>
  <c r="CP281" i="1"/>
  <c r="CO281" i="1"/>
  <c r="CN281" i="1"/>
  <c r="CM281" i="1"/>
  <c r="CL281" i="1"/>
  <c r="CK281" i="1"/>
  <c r="CJ281" i="1"/>
  <c r="BC281" i="1" s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C278" i="1"/>
  <c r="BC274" i="1"/>
  <c r="CT272" i="1"/>
  <c r="CS272" i="1"/>
  <c r="CR272" i="1"/>
  <c r="CQ272" i="1"/>
  <c r="CP272" i="1"/>
  <c r="CO272" i="1"/>
  <c r="CN272" i="1"/>
  <c r="CM272" i="1"/>
  <c r="CL272" i="1"/>
  <c r="CK272" i="1"/>
  <c r="CJ272" i="1"/>
  <c r="BC272" i="1" s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C245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BC242" i="1" s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14" i="1"/>
  <c r="BC213" i="1"/>
  <c r="BC209" i="1"/>
  <c r="BC207" i="1"/>
  <c r="BC174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48" i="1"/>
  <c r="BC131" i="1"/>
  <c r="BC130" i="1"/>
  <c r="BC128" i="1"/>
  <c r="BC126" i="1"/>
  <c r="BC125" i="1"/>
  <c r="BC123" i="1"/>
  <c r="BC122" i="1"/>
  <c r="BC118" i="1"/>
  <c r="BC110" i="1"/>
  <c r="BC107" i="1"/>
  <c r="BC106" i="1"/>
  <c r="BC104" i="1"/>
  <c r="BC103" i="1"/>
  <c r="BC100" i="1"/>
  <c r="BC99" i="1"/>
  <c r="BC98" i="1"/>
  <c r="BC93" i="1"/>
  <c r="BC90" i="1"/>
  <c r="BC88" i="1"/>
  <c r="BC77" i="1"/>
  <c r="BC75" i="1"/>
  <c r="BC74" i="1"/>
  <c r="BB38" i="1"/>
  <c r="BB37" i="1"/>
  <c r="BC37" i="1"/>
  <c r="BB36" i="1"/>
  <c r="BB35" i="1"/>
  <c r="BB34" i="1"/>
  <c r="BB33" i="1"/>
  <c r="BB32" i="1"/>
  <c r="BB31" i="1"/>
  <c r="BC31" i="1"/>
  <c r="BB30" i="1"/>
  <c r="BB29" i="1"/>
  <c r="BC29" i="1"/>
  <c r="BB28" i="1"/>
  <c r="BB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BC12" i="1" s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B11" i="1"/>
  <c r="BB10" i="1"/>
  <c r="BC10" i="1"/>
  <c r="BB3" i="1"/>
  <c r="BC3" i="1"/>
  <c r="BB2" i="1"/>
  <c r="B271" i="6"/>
  <c r="F40" i="3"/>
  <c r="A40" i="3"/>
  <c r="G40" i="3" s="1"/>
  <c r="F41" i="3"/>
  <c r="F42" i="3"/>
  <c r="F43" i="3"/>
  <c r="A41" i="3"/>
  <c r="H41" i="3"/>
  <c r="A42" i="3"/>
  <c r="G42" i="3" s="1"/>
  <c r="H42" i="3"/>
  <c r="A43" i="3"/>
  <c r="H43" i="3" s="1"/>
  <c r="AI193" i="4"/>
  <c r="AI154" i="4"/>
  <c r="AI266" i="4"/>
  <c r="AI265" i="4"/>
  <c r="G41" i="3"/>
  <c r="G43" i="3"/>
  <c r="I43" i="3" s="1"/>
  <c r="B25" i="3"/>
  <c r="C25" i="3"/>
  <c r="AA25" i="2"/>
  <c r="AD25" i="2"/>
  <c r="AE25" i="2"/>
  <c r="AH25" i="2"/>
  <c r="AK25" i="2"/>
  <c r="B390" i="4"/>
  <c r="C390" i="4" s="1"/>
  <c r="B389" i="4"/>
  <c r="B387" i="4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V3" i="8" s="1"/>
  <c r="A4" i="8"/>
  <c r="A5" i="8"/>
  <c r="AE5" i="8"/>
  <c r="AF5" i="8"/>
  <c r="AG5" i="8"/>
  <c r="A6" i="8"/>
  <c r="A7" i="8"/>
  <c r="AG7" i="8"/>
  <c r="AK7" i="8"/>
  <c r="A8" i="8"/>
  <c r="AE8" i="8"/>
  <c r="AG8" i="8"/>
  <c r="AI8" i="8"/>
  <c r="AK8" i="8"/>
  <c r="A9" i="8"/>
  <c r="A10" i="8"/>
  <c r="A11" i="8"/>
  <c r="AI11" i="8" s="1"/>
  <c r="AE11" i="8"/>
  <c r="AG11" i="8"/>
  <c r="AK11" i="8"/>
  <c r="A12" i="8"/>
  <c r="AI12" i="8"/>
  <c r="A13" i="8"/>
  <c r="AK13" i="8" s="1"/>
  <c r="AI13" i="8"/>
  <c r="AM13" i="8"/>
  <c r="A14" i="8"/>
  <c r="A15" i="8"/>
  <c r="A16" i="8"/>
  <c r="A17" i="8"/>
  <c r="AE17" i="8"/>
  <c r="AG17" i="8"/>
  <c r="AI17" i="8"/>
  <c r="AK17" i="8"/>
  <c r="AM17" i="8"/>
  <c r="A18" i="8"/>
  <c r="AG18" i="8" s="1"/>
  <c r="AE18" i="8"/>
  <c r="AF18" i="8"/>
  <c r="AI18" i="8"/>
  <c r="A19" i="8"/>
  <c r="A20" i="8"/>
  <c r="AE20" i="8"/>
  <c r="AF20" i="8"/>
  <c r="AG20" i="8"/>
  <c r="AI20" i="8"/>
  <c r="AK20" i="8"/>
  <c r="AM20" i="8"/>
  <c r="A21" i="8"/>
  <c r="AE21" i="8" s="1"/>
  <c r="AF21" i="8"/>
  <c r="AM21" i="8"/>
  <c r="A22" i="8"/>
  <c r="AM22" i="8" s="1"/>
  <c r="A23" i="8"/>
  <c r="AM23" i="8" s="1"/>
  <c r="AK23" i="8"/>
  <c r="A24" i="8"/>
  <c r="A25" i="8"/>
  <c r="AG25" i="8"/>
  <c r="AK25" i="8"/>
  <c r="A26" i="8"/>
  <c r="AE26" i="8"/>
  <c r="A27" i="8"/>
  <c r="A28" i="8"/>
  <c r="AE28" i="8"/>
  <c r="AF28" i="8"/>
  <c r="AK28" i="8"/>
  <c r="A29" i="8"/>
  <c r="AE29" i="8"/>
  <c r="AG29" i="8"/>
  <c r="AK29" i="8"/>
  <c r="A30" i="8"/>
  <c r="AL30" i="8" s="1"/>
  <c r="AE30" i="8"/>
  <c r="AF30" i="8"/>
  <c r="AK30" i="8"/>
  <c r="A31" i="8"/>
  <c r="AE31" i="8"/>
  <c r="AF31" i="8"/>
  <c r="AL31" i="8"/>
  <c r="A32" i="8"/>
  <c r="T32" i="8" s="1"/>
  <c r="A33" i="8"/>
  <c r="AE33" i="8"/>
  <c r="AK33" i="8"/>
  <c r="A34" i="8"/>
  <c r="AE34" i="8"/>
  <c r="A35" i="8"/>
  <c r="AK35" i="8"/>
  <c r="A36" i="8"/>
  <c r="A37" i="8"/>
  <c r="AD37" i="8"/>
  <c r="AE37" i="8"/>
  <c r="AI37" i="8"/>
  <c r="AL37" i="8"/>
  <c r="A38" i="8"/>
  <c r="AI38" i="8"/>
  <c r="AL38" i="8"/>
  <c r="A39" i="8"/>
  <c r="A40" i="8"/>
  <c r="AE40" i="8"/>
  <c r="A41" i="8"/>
  <c r="AE41" i="8"/>
  <c r="AI41" i="8"/>
  <c r="AJ41" i="8"/>
  <c r="A42" i="8"/>
  <c r="AL42" i="8"/>
  <c r="A43" i="8"/>
  <c r="AE43" i="8"/>
  <c r="AG43" i="8"/>
  <c r="AK43" i="8"/>
  <c r="AL43" i="8"/>
  <c r="A44" i="8"/>
  <c r="AE44" i="8" s="1"/>
  <c r="AG44" i="8"/>
  <c r="AI44" i="8"/>
  <c r="AK44" i="8"/>
  <c r="A45" i="8"/>
  <c r="A46" i="8"/>
  <c r="A47" i="8"/>
  <c r="AG47" i="8"/>
  <c r="A48" i="8"/>
  <c r="AF48" i="8"/>
  <c r="AI48" i="8"/>
  <c r="A49" i="8"/>
  <c r="AG49" i="8"/>
  <c r="AI49" i="8"/>
  <c r="AK49" i="8"/>
  <c r="A50" i="8"/>
  <c r="A51" i="8"/>
  <c r="A52" i="8"/>
  <c r="A53" i="8"/>
  <c r="AI53" i="8"/>
  <c r="A54" i="8"/>
  <c r="AK54" i="8"/>
  <c r="A55" i="8"/>
  <c r="AE55" i="8"/>
  <c r="AG55" i="8"/>
  <c r="AI55" i="8"/>
  <c r="AK55" i="8"/>
  <c r="A56" i="8"/>
  <c r="AK56" i="8"/>
  <c r="A57" i="8"/>
  <c r="AK57" i="8"/>
  <c r="AM57" i="8"/>
  <c r="A58" i="8"/>
  <c r="AG58" i="8" s="1"/>
  <c r="AE58" i="8"/>
  <c r="AK58" i="8"/>
  <c r="A59" i="8"/>
  <c r="AE59" i="8"/>
  <c r="A60" i="8"/>
  <c r="AF60" i="8"/>
  <c r="AG60" i="8"/>
  <c r="A61" i="8"/>
  <c r="AK61" i="8"/>
  <c r="A62" i="8"/>
  <c r="AE62" i="8"/>
  <c r="AG62" i="8"/>
  <c r="AI62" i="8"/>
  <c r="AK62" i="8"/>
  <c r="A63" i="8"/>
  <c r="AF63" i="8" s="1"/>
  <c r="AG63" i="8"/>
  <c r="AI63" i="8"/>
  <c r="A64" i="8"/>
  <c r="AE64" i="8" s="1"/>
  <c r="A65" i="8"/>
  <c r="AE65" i="8"/>
  <c r="AG65" i="8"/>
  <c r="A66" i="8"/>
  <c r="AE66" i="8"/>
  <c r="AF66" i="8"/>
  <c r="AG66" i="8"/>
  <c r="AI66" i="8"/>
  <c r="A67" i="8"/>
  <c r="A68" i="8"/>
  <c r="AE68" i="8"/>
  <c r="AF68" i="8"/>
  <c r="AG68" i="8"/>
  <c r="AI68" i="8"/>
  <c r="AK68" i="8"/>
  <c r="A69" i="8"/>
  <c r="AK69" i="8"/>
  <c r="A70" i="8"/>
  <c r="AE70" i="8"/>
  <c r="A71" i="8"/>
  <c r="AE71" i="8"/>
  <c r="AG71" i="8"/>
  <c r="AK71" i="8"/>
  <c r="A72" i="8"/>
  <c r="AG72" i="8"/>
  <c r="AI72" i="8"/>
  <c r="A73" i="8"/>
  <c r="A74" i="8"/>
  <c r="AE74" i="8"/>
  <c r="AG74" i="8"/>
  <c r="AI74" i="8"/>
  <c r="AK74" i="8"/>
  <c r="A75" i="8"/>
  <c r="AG75" i="8"/>
  <c r="AK75" i="8"/>
  <c r="A76" i="8"/>
  <c r="A77" i="8"/>
  <c r="AI77" i="8"/>
  <c r="AN77" i="8"/>
  <c r="A78" i="8"/>
  <c r="A79" i="8"/>
  <c r="AF79" i="8" s="1"/>
  <c r="AG79" i="8"/>
  <c r="AK79" i="8"/>
  <c r="A80" i="8"/>
  <c r="AE80" i="8"/>
  <c r="AG80" i="8"/>
  <c r="A81" i="8"/>
  <c r="AF81" i="8"/>
  <c r="AI81" i="8"/>
  <c r="A82" i="8"/>
  <c r="AE82" i="8"/>
  <c r="AF82" i="8"/>
  <c r="AG82" i="8"/>
  <c r="AI82" i="8"/>
  <c r="AK82" i="8"/>
  <c r="A83" i="8"/>
  <c r="AF83" i="8"/>
  <c r="AK83" i="8"/>
  <c r="A84" i="8"/>
  <c r="AK84" i="8"/>
  <c r="A85" i="8"/>
  <c r="AG85" i="8"/>
  <c r="AK85" i="8"/>
  <c r="A86" i="8"/>
  <c r="AK86" i="8" s="1"/>
  <c r="AE86" i="8"/>
  <c r="AG86" i="8"/>
  <c r="AI86" i="8"/>
  <c r="A87" i="8"/>
  <c r="AK87" i="8"/>
  <c r="A88" i="8"/>
  <c r="AE88" i="8"/>
  <c r="AG88" i="8"/>
  <c r="AK88" i="8"/>
  <c r="A89" i="8"/>
  <c r="AG89" i="8"/>
  <c r="A90" i="8"/>
  <c r="AG90" i="8" s="1"/>
  <c r="AE90" i="8"/>
  <c r="AF90" i="8"/>
  <c r="AI90" i="8"/>
  <c r="AL90" i="8"/>
  <c r="A91" i="8"/>
  <c r="AE91" i="8"/>
  <c r="AK91" i="8"/>
  <c r="A92" i="8"/>
  <c r="A93" i="8"/>
  <c r="AE93" i="8" s="1"/>
  <c r="A94" i="8"/>
  <c r="AE94" i="8"/>
  <c r="AG94" i="8"/>
  <c r="AI94" i="8"/>
  <c r="AK94" i="8"/>
  <c r="A95" i="8"/>
  <c r="AK95" i="8"/>
  <c r="A96" i="8"/>
  <c r="AI96" i="8"/>
  <c r="AK96" i="8"/>
  <c r="A97" i="8"/>
  <c r="AE97" i="8"/>
  <c r="AG97" i="8"/>
  <c r="AK97" i="8"/>
  <c r="A98" i="8"/>
  <c r="A99" i="8"/>
  <c r="A100" i="8"/>
  <c r="AE100" i="8"/>
  <c r="AG100" i="8"/>
  <c r="AI100" i="8"/>
  <c r="AK100" i="8"/>
  <c r="A101" i="8"/>
  <c r="AE101" i="8"/>
  <c r="AG101" i="8"/>
  <c r="AK101" i="8"/>
  <c r="AM101" i="8"/>
  <c r="A102" i="8"/>
  <c r="AK102" i="8"/>
  <c r="AM102" i="8"/>
  <c r="A103" i="8"/>
  <c r="AK103" i="8" s="1"/>
  <c r="AE103" i="8"/>
  <c r="AG103" i="8"/>
  <c r="AM103" i="8"/>
  <c r="A104" i="8"/>
  <c r="AE104" i="8"/>
  <c r="AK104" i="8"/>
  <c r="A105" i="8"/>
  <c r="AK105" i="8" s="1"/>
  <c r="AG105" i="8"/>
  <c r="A106" i="8"/>
  <c r="AG106" i="8"/>
  <c r="A107" i="8"/>
  <c r="A108" i="8"/>
  <c r="A109" i="8"/>
  <c r="AI109" i="8"/>
  <c r="A110" i="8"/>
  <c r="AE110" i="8"/>
  <c r="AG110" i="8"/>
  <c r="AK110" i="8"/>
  <c r="A111" i="8"/>
  <c r="A112" i="8"/>
  <c r="AE112" i="8"/>
  <c r="AF112" i="8"/>
  <c r="AG112" i="8"/>
  <c r="AK112" i="8"/>
  <c r="AM112" i="8"/>
  <c r="A113" i="8"/>
  <c r="AF113" i="8" s="1"/>
  <c r="A114" i="8"/>
  <c r="A115" i="8"/>
  <c r="AM115" i="8" s="1"/>
  <c r="AG115" i="8"/>
  <c r="AI115" i="8"/>
  <c r="AK115" i="8"/>
  <c r="A116" i="8"/>
  <c r="A117" i="8"/>
  <c r="A118" i="8"/>
  <c r="A119" i="8"/>
  <c r="A120" i="8"/>
  <c r="A121" i="8"/>
  <c r="AE121" i="8"/>
  <c r="AF121" i="8"/>
  <c r="AK121" i="8"/>
  <c r="A122" i="8"/>
  <c r="AE122" i="8"/>
  <c r="AF122" i="8"/>
  <c r="AI122" i="8"/>
  <c r="AK122" i="8"/>
  <c r="A123" i="8"/>
  <c r="AE123" i="8" s="1"/>
  <c r="AF123" i="8"/>
  <c r="AG123" i="8"/>
  <c r="AK123" i="8"/>
  <c r="A124" i="8"/>
  <c r="AE124" i="8"/>
  <c r="AF124" i="8"/>
  <c r="AG124" i="8"/>
  <c r="AI124" i="8"/>
  <c r="AK124" i="8"/>
  <c r="A125" i="8"/>
  <c r="A126" i="8"/>
  <c r="AG126" i="8"/>
  <c r="AK126" i="8"/>
  <c r="A127" i="8"/>
  <c r="AF127" i="8"/>
  <c r="AG127" i="8"/>
  <c r="AI127" i="8"/>
  <c r="AK127" i="8"/>
  <c r="A128" i="8"/>
  <c r="AE128" i="8"/>
  <c r="AF128" i="8"/>
  <c r="AG128" i="8"/>
  <c r="AI128" i="8"/>
  <c r="AK128" i="8"/>
  <c r="A129" i="8"/>
  <c r="AE130" i="8"/>
  <c r="AK130" i="8"/>
  <c r="A131" i="8"/>
  <c r="AK131" i="8"/>
  <c r="A132" i="8"/>
  <c r="AG132" i="8"/>
  <c r="AI132" i="8"/>
  <c r="A133" i="8"/>
  <c r="AG133" i="8"/>
  <c r="AI133" i="8"/>
  <c r="AK133" i="8"/>
  <c r="A134" i="8"/>
  <c r="AK134" i="8" s="1"/>
  <c r="AF134" i="8"/>
  <c r="AG134" i="8"/>
  <c r="A135" i="8"/>
  <c r="AG135" i="8"/>
  <c r="A136" i="8"/>
  <c r="A137" i="8"/>
  <c r="AG137" i="8"/>
  <c r="AK137" i="8"/>
  <c r="A138" i="8"/>
  <c r="A139" i="8"/>
  <c r="AI139" i="8"/>
  <c r="A140" i="8"/>
  <c r="AE140" i="8"/>
  <c r="AG140" i="8"/>
  <c r="AI140" i="8"/>
  <c r="AK140" i="8"/>
  <c r="A141" i="8"/>
  <c r="AE141" i="8" s="1"/>
  <c r="AI141" i="8"/>
  <c r="A142" i="8"/>
  <c r="AE142" i="8" s="1"/>
  <c r="AF142" i="8"/>
  <c r="AI142" i="8"/>
  <c r="A143" i="8"/>
  <c r="A144" i="8"/>
  <c r="AF144" i="8"/>
  <c r="AK144" i="8"/>
  <c r="A145" i="8"/>
  <c r="AE145" i="8"/>
  <c r="AF145" i="8"/>
  <c r="AG145" i="8"/>
  <c r="AI145" i="8"/>
  <c r="AK145" i="8"/>
  <c r="A146" i="8"/>
  <c r="AE146" i="8"/>
  <c r="AG146" i="8"/>
  <c r="A147" i="8"/>
  <c r="AI147" i="8" s="1"/>
  <c r="AF147" i="8"/>
  <c r="AG147" i="8"/>
  <c r="AK147" i="8"/>
  <c r="A148" i="8"/>
  <c r="AE148" i="8" s="1"/>
  <c r="AI148" i="8"/>
  <c r="AJ148" i="8"/>
  <c r="AK148" i="8"/>
  <c r="A149" i="8"/>
  <c r="AE149" i="8"/>
  <c r="A150" i="8"/>
  <c r="A151" i="8"/>
  <c r="AM151" i="8"/>
  <c r="A152" i="8"/>
  <c r="AE152" i="8"/>
  <c r="AK152" i="8"/>
  <c r="AM152" i="8"/>
  <c r="A153" i="8"/>
  <c r="AM153" i="8"/>
  <c r="A154" i="8"/>
  <c r="A155" i="8"/>
  <c r="AG155" i="8"/>
  <c r="AM155" i="8"/>
  <c r="A156" i="8"/>
  <c r="AG156" i="8"/>
  <c r="AK156" i="8"/>
  <c r="AM156" i="8"/>
  <c r="A157" i="8"/>
  <c r="AK157" i="8" s="1"/>
  <c r="AG157" i="8"/>
  <c r="A158" i="8"/>
  <c r="AE158" i="8"/>
  <c r="AF158" i="8"/>
  <c r="AI158" i="8"/>
  <c r="AM158" i="8"/>
  <c r="A159" i="8"/>
  <c r="AE159" i="8"/>
  <c r="AM159" i="8"/>
  <c r="A160" i="8"/>
  <c r="AG160" i="8"/>
  <c r="A161" i="8"/>
  <c r="AE161" i="8"/>
  <c r="AI161" i="8"/>
  <c r="AK161" i="8"/>
  <c r="AM161" i="8"/>
  <c r="A162" i="8"/>
  <c r="AE162" i="8"/>
  <c r="AF162" i="8"/>
  <c r="AG162" i="8"/>
  <c r="AI162" i="8"/>
  <c r="A163" i="8"/>
  <c r="AM163" i="8"/>
  <c r="A164" i="8"/>
  <c r="AG164" i="8"/>
  <c r="AK164" i="8"/>
  <c r="AM164" i="8"/>
  <c r="A165" i="8"/>
  <c r="AM165" i="8"/>
  <c r="A166" i="8"/>
  <c r="AM166" i="8"/>
  <c r="A167" i="8"/>
  <c r="AD167" i="8"/>
  <c r="AE167" i="8"/>
  <c r="A168" i="8"/>
  <c r="AM168" i="8"/>
  <c r="A169" i="8"/>
  <c r="A170" i="8"/>
  <c r="AG170" i="8"/>
  <c r="AI170" i="8"/>
  <c r="AK170" i="8"/>
  <c r="AM170" i="8"/>
  <c r="AG171" i="8"/>
  <c r="AI171" i="8"/>
  <c r="AK171" i="8"/>
  <c r="AM171" i="8"/>
  <c r="A172" i="8"/>
  <c r="AK172" i="8"/>
  <c r="AM172" i="8"/>
  <c r="A173" i="8"/>
  <c r="AE173" i="8"/>
  <c r="AF173" i="8"/>
  <c r="AG173" i="8"/>
  <c r="A174" i="8"/>
  <c r="A175" i="8"/>
  <c r="A176" i="8"/>
  <c r="AG176" i="8"/>
  <c r="AM176" i="8"/>
  <c r="A177" i="8"/>
  <c r="AE177" i="8"/>
  <c r="AK177" i="8"/>
  <c r="AM177" i="8"/>
  <c r="A178" i="8"/>
  <c r="AG178" i="8"/>
  <c r="A179" i="8"/>
  <c r="AI179" i="8"/>
  <c r="AM179" i="8"/>
  <c r="A180" i="8"/>
  <c r="AE180" i="8"/>
  <c r="A181" i="8"/>
  <c r="AK181" i="8"/>
  <c r="A182" i="8"/>
  <c r="AG182" i="8"/>
  <c r="AI182" i="8"/>
  <c r="AK182" i="8"/>
  <c r="A183" i="8"/>
  <c r="AG183" i="8"/>
  <c r="AI183" i="8"/>
  <c r="AK183" i="8"/>
  <c r="AM183" i="8"/>
  <c r="A184" i="8"/>
  <c r="AE184" i="8"/>
  <c r="AG184" i="8"/>
  <c r="AK184" i="8"/>
  <c r="AM184" i="8"/>
  <c r="A185" i="8"/>
  <c r="AK185" i="8"/>
  <c r="A186" i="8"/>
  <c r="AE186" i="8"/>
  <c r="AG186" i="8"/>
  <c r="AK186" i="8"/>
  <c r="A187" i="8"/>
  <c r="A188" i="8"/>
  <c r="A189" i="8"/>
  <c r="A190" i="8"/>
  <c r="AK190" i="8"/>
  <c r="A191" i="8"/>
  <c r="AE191" i="8"/>
  <c r="AF191" i="8"/>
  <c r="AG191" i="8"/>
  <c r="AK191" i="8"/>
  <c r="A192" i="8"/>
  <c r="AK192" i="8" s="1"/>
  <c r="AD192" i="8"/>
  <c r="AE192" i="8"/>
  <c r="AF192" i="8"/>
  <c r="AI192" i="8"/>
  <c r="A193" i="8"/>
  <c r="AG193" i="8"/>
  <c r="AI193" i="8"/>
  <c r="AK193" i="8"/>
  <c r="A194" i="8"/>
  <c r="AE194" i="8"/>
  <c r="AF194" i="8"/>
  <c r="AG194" i="8"/>
  <c r="AK194" i="8"/>
  <c r="A195" i="8"/>
  <c r="A196" i="8"/>
  <c r="AI196" i="8"/>
  <c r="A197" i="8"/>
  <c r="AE197" i="8"/>
  <c r="AF197" i="8"/>
  <c r="AI197" i="8"/>
  <c r="A198" i="8"/>
  <c r="AE198" i="8"/>
  <c r="AF198" i="8"/>
  <c r="A199" i="8"/>
  <c r="AI199" i="8" s="1"/>
  <c r="AE199" i="8"/>
  <c r="A200" i="8"/>
  <c r="AE200" i="8" s="1"/>
  <c r="AG200" i="8"/>
  <c r="AI200" i="8"/>
  <c r="AK200" i="8"/>
  <c r="A201" i="8"/>
  <c r="AG201" i="8"/>
  <c r="AI201" i="8"/>
  <c r="AK201" i="8"/>
  <c r="A202" i="8"/>
  <c r="AI202" i="8"/>
  <c r="A203" i="8"/>
  <c r="A204" i="8"/>
  <c r="A205" i="8"/>
  <c r="AI205" i="8"/>
  <c r="AL205" i="8"/>
  <c r="A206" i="8"/>
  <c r="A207" i="8"/>
  <c r="A208" i="8"/>
  <c r="AE208" i="8"/>
  <c r="AF208" i="8"/>
  <c r="AG208" i="8"/>
  <c r="A209" i="8"/>
  <c r="AE209" i="8"/>
  <c r="AF209" i="8"/>
  <c r="AK209" i="8"/>
  <c r="AM209" i="8"/>
  <c r="A210" i="8"/>
  <c r="AE210" i="8"/>
  <c r="AG210" i="8"/>
  <c r="AI210" i="8"/>
  <c r="AM210" i="8"/>
  <c r="A211" i="8"/>
  <c r="AG211" i="8"/>
  <c r="A212" i="8"/>
  <c r="AE212" i="8" s="1"/>
  <c r="AI212" i="8"/>
  <c r="AK212" i="8"/>
  <c r="AM212" i="8"/>
  <c r="A213" i="8"/>
  <c r="AE213" i="8"/>
  <c r="AF213" i="8"/>
  <c r="AG213" i="8"/>
  <c r="AI213" i="8"/>
  <c r="AK213" i="8"/>
  <c r="AM213" i="8"/>
  <c r="A214" i="8"/>
  <c r="AE214" i="8"/>
  <c r="AF214" i="8"/>
  <c r="AG214" i="8"/>
  <c r="A215" i="8"/>
  <c r="AE215" i="8"/>
  <c r="A216" i="8"/>
  <c r="AE216" i="8"/>
  <c r="AM216" i="8"/>
  <c r="A217" i="8"/>
  <c r="AM217" i="8"/>
  <c r="A218" i="8"/>
  <c r="AD218" i="8"/>
  <c r="AG218" i="8"/>
  <c r="AI218" i="8"/>
  <c r="AK218" i="8"/>
  <c r="AM218" i="8"/>
  <c r="A219" i="8"/>
  <c r="AG219" i="8"/>
  <c r="AM219" i="8"/>
  <c r="A220" i="8"/>
  <c r="AE220" i="8"/>
  <c r="AK220" i="8"/>
  <c r="AM220" i="8"/>
  <c r="A221" i="8"/>
  <c r="A222" i="8"/>
  <c r="AM222" i="8" s="1"/>
  <c r="AE222" i="8"/>
  <c r="AL222" i="8"/>
  <c r="A223" i="8"/>
  <c r="AM223" i="8"/>
  <c r="A224" i="8"/>
  <c r="AG224" i="8"/>
  <c r="AK224" i="8"/>
  <c r="A225" i="8"/>
  <c r="AG225" i="8"/>
  <c r="AK225" i="8"/>
  <c r="AL225" i="8"/>
  <c r="AM225" i="8"/>
  <c r="A226" i="8"/>
  <c r="A227" i="8"/>
  <c r="A228" i="8"/>
  <c r="AK228" i="8"/>
  <c r="AM228" i="8"/>
  <c r="A229" i="8"/>
  <c r="AI229" i="8"/>
  <c r="AM229" i="8"/>
  <c r="A230" i="8"/>
  <c r="AI230" i="8"/>
  <c r="AK230" i="8"/>
  <c r="AM230" i="8"/>
  <c r="A231" i="8"/>
  <c r="AK231" i="8" s="1"/>
  <c r="AM231" i="8"/>
  <c r="A232" i="8"/>
  <c r="AI232" i="8"/>
  <c r="AK232" i="8"/>
  <c r="AO232" i="8"/>
  <c r="A233" i="8"/>
  <c r="AM233" i="8"/>
  <c r="A234" i="8"/>
  <c r="AK234" i="8"/>
  <c r="AM234" i="8"/>
  <c r="A235" i="8"/>
  <c r="A236" i="8"/>
  <c r="AE236" i="8" s="1"/>
  <c r="AF236" i="8"/>
  <c r="AG236" i="8"/>
  <c r="AI236" i="8"/>
  <c r="A237" i="8"/>
  <c r="AE237" i="8"/>
  <c r="AK237" i="8"/>
  <c r="A238" i="8"/>
  <c r="AG238" i="8"/>
  <c r="AI238" i="8"/>
  <c r="AK238" i="8"/>
  <c r="A239" i="8"/>
  <c r="A240" i="8"/>
  <c r="AI240" i="8" s="1"/>
  <c r="AD240" i="8"/>
  <c r="AE240" i="8"/>
  <c r="AG240" i="8"/>
  <c r="AK240" i="8"/>
  <c r="A241" i="8"/>
  <c r="A242" i="8"/>
  <c r="AG242" i="8"/>
  <c r="AK242" i="8"/>
  <c r="A243" i="8"/>
  <c r="AE243" i="8"/>
  <c r="AG243" i="8"/>
  <c r="AI243" i="8"/>
  <c r="AK243" i="8"/>
  <c r="A244" i="8"/>
  <c r="AG244" i="8"/>
  <c r="AK244" i="8"/>
  <c r="A245" i="8"/>
  <c r="AE245" i="8"/>
  <c r="AF245" i="8"/>
  <c r="AI245" i="8"/>
  <c r="A246" i="8"/>
  <c r="AE246" i="8"/>
  <c r="AF246" i="8"/>
  <c r="AK246" i="8"/>
  <c r="A247" i="8"/>
  <c r="A248" i="8"/>
  <c r="AE248" i="8"/>
  <c r="AI248" i="8"/>
  <c r="A249" i="8"/>
  <c r="AE249" i="8"/>
  <c r="AF249" i="8"/>
  <c r="AG249" i="8"/>
  <c r="AI249" i="8"/>
  <c r="AK249" i="8"/>
  <c r="A250" i="8"/>
  <c r="AG250" i="8"/>
  <c r="AI250" i="8"/>
  <c r="AK250" i="8"/>
  <c r="A251" i="8"/>
  <c r="A252" i="8"/>
  <c r="AG252" i="8"/>
  <c r="AK252" i="8"/>
  <c r="A253" i="8"/>
  <c r="AK253" i="8" s="1"/>
  <c r="AE253" i="8"/>
  <c r="AG253" i="8"/>
  <c r="AI253" i="8"/>
  <c r="A254" i="8"/>
  <c r="A255" i="8"/>
  <c r="AE255" i="8"/>
  <c r="AG255" i="8"/>
  <c r="AI255" i="8"/>
  <c r="AK255" i="8"/>
  <c r="A256" i="8"/>
  <c r="AK256" i="8" s="1"/>
  <c r="AG256" i="8"/>
  <c r="AI256" i="8"/>
  <c r="A257" i="8"/>
  <c r="AG257" i="8" s="1"/>
  <c r="AE257" i="8"/>
  <c r="AI257" i="8"/>
  <c r="AK257" i="8"/>
  <c r="A258" i="8"/>
  <c r="AI258" i="8" s="1"/>
  <c r="AE258" i="8"/>
  <c r="AG258" i="8"/>
  <c r="AK258" i="8"/>
  <c r="A259" i="8"/>
  <c r="AE259" i="8"/>
  <c r="AG259" i="8"/>
  <c r="AI259" i="8"/>
  <c r="A260" i="8"/>
  <c r="AE260" i="8"/>
  <c r="AG260" i="8"/>
  <c r="AK260" i="8"/>
  <c r="A261" i="8"/>
  <c r="AE261" i="8"/>
  <c r="AF261" i="8"/>
  <c r="AG261" i="8"/>
  <c r="AI261" i="8"/>
  <c r="AK261" i="8"/>
  <c r="A262" i="8"/>
  <c r="AF262" i="8"/>
  <c r="AI262" i="8"/>
  <c r="AK262" i="8"/>
  <c r="A263" i="8"/>
  <c r="AE263" i="8"/>
  <c r="AF263" i="8"/>
  <c r="AI263" i="8"/>
  <c r="A264" i="8"/>
  <c r="AE264" i="8"/>
  <c r="A265" i="8"/>
  <c r="AG265" i="8"/>
  <c r="A266" i="8"/>
  <c r="A267" i="8"/>
  <c r="AE267" i="8"/>
  <c r="AG267" i="8"/>
  <c r="AI267" i="8"/>
  <c r="AK267" i="8"/>
  <c r="A268" i="8"/>
  <c r="AG268" i="8" s="1"/>
  <c r="A269" i="8"/>
  <c r="AF269" i="8"/>
  <c r="AI269" i="8"/>
  <c r="AK269" i="8"/>
  <c r="A270" i="8"/>
  <c r="AE270" i="8"/>
  <c r="AF270" i="8"/>
  <c r="AK270" i="8"/>
  <c r="A271" i="8"/>
  <c r="AE271" i="8"/>
  <c r="AF271" i="8"/>
  <c r="AG271" i="8"/>
  <c r="AK271" i="8"/>
  <c r="A272" i="8"/>
  <c r="AK272" i="8" s="1"/>
  <c r="AE272" i="8"/>
  <c r="AG272" i="8"/>
  <c r="A273" i="8"/>
  <c r="AK273" i="8"/>
  <c r="A274" i="8"/>
  <c r="AE274" i="8"/>
  <c r="AF274" i="8"/>
  <c r="AK274" i="8"/>
  <c r="A275" i="8"/>
  <c r="AG275" i="8" s="1"/>
  <c r="AE275" i="8"/>
  <c r="AF275" i="8"/>
  <c r="AK275" i="8"/>
  <c r="A276" i="8"/>
  <c r="AG276" i="8"/>
  <c r="AK276" i="8"/>
  <c r="A277" i="8"/>
  <c r="AI277" i="8"/>
  <c r="AK277" i="8"/>
  <c r="A278" i="8"/>
  <c r="A279" i="8"/>
  <c r="AI279" i="8"/>
  <c r="A280" i="8"/>
  <c r="A281" i="8"/>
  <c r="AI281" i="8" s="1"/>
  <c r="A282" i="8"/>
  <c r="AE282" i="8"/>
  <c r="AK282" i="8"/>
  <c r="A283" i="8"/>
  <c r="AG283" i="8"/>
  <c r="A284" i="8"/>
  <c r="AE284" i="8"/>
  <c r="AG284" i="8"/>
  <c r="A285" i="8"/>
  <c r="AK285" i="8"/>
  <c r="A286" i="8"/>
  <c r="AK286" i="8"/>
  <c r="A287" i="8"/>
  <c r="AE287" i="8"/>
  <c r="AG287" i="8"/>
  <c r="A288" i="8"/>
  <c r="AE288" i="8" s="1"/>
  <c r="A289" i="8"/>
  <c r="AE289" i="8"/>
  <c r="AG289" i="8"/>
  <c r="AI289" i="8"/>
  <c r="AK289" i="8"/>
  <c r="A290" i="8"/>
  <c r="AE290" i="8"/>
  <c r="AG290" i="8"/>
  <c r="AI290" i="8"/>
  <c r="AK290" i="8"/>
  <c r="A291" i="8"/>
  <c r="A292" i="8"/>
  <c r="AE292" i="8"/>
  <c r="AF292" i="8"/>
  <c r="AM292" i="8"/>
  <c r="A293" i="8"/>
  <c r="AI293" i="8"/>
  <c r="A294" i="8"/>
  <c r="A295" i="8"/>
  <c r="AG295" i="8"/>
  <c r="AI295" i="8"/>
  <c r="A296" i="8"/>
  <c r="AI296" i="8" s="1"/>
  <c r="AE296" i="8"/>
  <c r="AK296" i="8"/>
  <c r="A297" i="8"/>
  <c r="AE297" i="8"/>
  <c r="AG297" i="8"/>
  <c r="AI297" i="8"/>
  <c r="AK297" i="8"/>
  <c r="A298" i="8"/>
  <c r="AG298" i="8"/>
  <c r="AI298" i="8"/>
  <c r="AK298" i="8"/>
  <c r="A299" i="8"/>
  <c r="AG299" i="8" s="1"/>
  <c r="AE299" i="8"/>
  <c r="A300" i="8"/>
  <c r="AG300" i="8"/>
  <c r="AK300" i="8"/>
  <c r="A301" i="8"/>
  <c r="AE301" i="8"/>
  <c r="AF301" i="8"/>
  <c r="AG301" i="8"/>
  <c r="A302" i="8"/>
  <c r="AG302" i="8" s="1"/>
  <c r="AE302" i="8"/>
  <c r="AI302" i="8"/>
  <c r="A303" i="8"/>
  <c r="AE303" i="8"/>
  <c r="AG303" i="8"/>
  <c r="AI303" i="8"/>
  <c r="AK303" i="8"/>
  <c r="A304" i="8"/>
  <c r="AE304" i="8" s="1"/>
  <c r="AF304" i="8"/>
  <c r="AK304" i="8"/>
  <c r="A305" i="8"/>
  <c r="A306" i="8"/>
  <c r="A307" i="8"/>
  <c r="AE307" i="8"/>
  <c r="AF307" i="8"/>
  <c r="A308" i="8"/>
  <c r="AE308" i="8"/>
  <c r="AF308" i="8"/>
  <c r="AK308" i="8"/>
  <c r="A309" i="8"/>
  <c r="AE309" i="8"/>
  <c r="AF309" i="8"/>
  <c r="AK309" i="8"/>
  <c r="A310" i="8"/>
  <c r="AE310" i="8"/>
  <c r="AF310" i="8"/>
  <c r="AK310" i="8"/>
  <c r="AL310" i="8"/>
  <c r="A311" i="8"/>
  <c r="AK311" i="8" s="1"/>
  <c r="A312" i="8"/>
  <c r="AD312" i="8" s="1"/>
  <c r="AF312" i="8"/>
  <c r="A313" i="8"/>
  <c r="AE313" i="8"/>
  <c r="AF313" i="8"/>
  <c r="AK313" i="8"/>
  <c r="A314" i="8"/>
  <c r="AE314" i="8"/>
  <c r="AF314" i="8"/>
  <c r="AK314" i="8"/>
  <c r="A315" i="8"/>
  <c r="AE315" i="8"/>
  <c r="AK315" i="8"/>
  <c r="A316" i="8"/>
  <c r="AE316" i="8"/>
  <c r="AF316" i="8"/>
  <c r="AL316" i="8"/>
  <c r="A317" i="8"/>
  <c r="AE317" i="8"/>
  <c r="AF317" i="8"/>
  <c r="AK317" i="8"/>
  <c r="AL317" i="8"/>
  <c r="A318" i="8"/>
  <c r="AF318" i="8"/>
  <c r="AK318" i="8"/>
  <c r="AL318" i="8"/>
  <c r="A319" i="8"/>
  <c r="AE319" i="8"/>
  <c r="AF319" i="8"/>
  <c r="AK319" i="8"/>
  <c r="AL319" i="8"/>
  <c r="A320" i="8"/>
  <c r="AL320" i="8" s="1"/>
  <c r="AE320" i="8"/>
  <c r="AK320" i="8"/>
  <c r="A321" i="8"/>
  <c r="AE321" i="8"/>
  <c r="AF321" i="8"/>
  <c r="A322" i="8"/>
  <c r="AE322" i="8"/>
  <c r="AF322" i="8"/>
  <c r="AK322" i="8"/>
  <c r="A323" i="8"/>
  <c r="AE323" i="8"/>
  <c r="AF323" i="8"/>
  <c r="AK323" i="8"/>
  <c r="AL323" i="8"/>
  <c r="A324" i="8"/>
  <c r="AL324" i="8"/>
  <c r="A325" i="8"/>
  <c r="AL325" i="8" s="1"/>
  <c r="A326" i="8"/>
  <c r="A327" i="8"/>
  <c r="AE327" i="8"/>
  <c r="AF327" i="8"/>
  <c r="AL327" i="8"/>
  <c r="A328" i="8"/>
  <c r="A329" i="8"/>
  <c r="AE329" i="8"/>
  <c r="AF329" i="8"/>
  <c r="AK329" i="8"/>
  <c r="AL329" i="8"/>
  <c r="A330" i="8"/>
  <c r="AF330" i="8"/>
  <c r="A331" i="8"/>
  <c r="AE331" i="8"/>
  <c r="A332" i="8"/>
  <c r="AE332" i="8"/>
  <c r="AF332" i="8"/>
  <c r="AK332" i="8"/>
  <c r="AL332" i="8"/>
  <c r="A333" i="8"/>
  <c r="A334" i="8"/>
  <c r="AE334" i="8"/>
  <c r="AL334" i="8"/>
  <c r="A335" i="8"/>
  <c r="AE335" i="8"/>
  <c r="AF335" i="8"/>
  <c r="AK335" i="8"/>
  <c r="AL335" i="8"/>
  <c r="A336" i="8"/>
  <c r="AL336" i="8" s="1"/>
  <c r="AF336" i="8"/>
  <c r="AK336" i="8"/>
  <c r="A337" i="8"/>
  <c r="AE337" i="8"/>
  <c r="AF337" i="8"/>
  <c r="AK337" i="8"/>
  <c r="AL337" i="8"/>
  <c r="A338" i="8"/>
  <c r="AE338" i="8"/>
  <c r="A339" i="8"/>
  <c r="A340" i="8"/>
  <c r="AF340" i="8" s="1"/>
  <c r="A341" i="8"/>
  <c r="AA341" i="8" s="1"/>
  <c r="AE341" i="8"/>
  <c r="AF341" i="8"/>
  <c r="AK341" i="8"/>
  <c r="AL341" i="8"/>
  <c r="A342" i="8"/>
  <c r="AE342" i="8"/>
  <c r="AF342" i="8"/>
  <c r="AK342" i="8"/>
  <c r="AL342" i="8"/>
  <c r="A343" i="8"/>
  <c r="V343" i="8" s="1"/>
  <c r="A344" i="8"/>
  <c r="AE344" i="8" s="1"/>
  <c r="A345" i="8"/>
  <c r="AK345" i="8" s="1"/>
  <c r="A346" i="8"/>
  <c r="AF346" i="8" s="1"/>
  <c r="A347" i="8"/>
  <c r="S347" i="8" s="1"/>
  <c r="AL347" i="8"/>
  <c r="A348" i="8"/>
  <c r="AE348" i="8"/>
  <c r="AF348" i="8"/>
  <c r="AK348" i="8"/>
  <c r="A349" i="8"/>
  <c r="AF349" i="8"/>
  <c r="A350" i="8"/>
  <c r="AD350" i="8"/>
  <c r="AE350" i="8"/>
  <c r="AF350" i="8"/>
  <c r="AK350" i="8"/>
  <c r="A351" i="8"/>
  <c r="AE351" i="8"/>
  <c r="AK351" i="8"/>
  <c r="A352" i="8"/>
  <c r="AE352" i="8"/>
  <c r="A353" i="8"/>
  <c r="AE353" i="8"/>
  <c r="AK353" i="8"/>
  <c r="A354" i="8"/>
  <c r="AE354" i="8"/>
  <c r="A355" i="8"/>
  <c r="AK355" i="8"/>
  <c r="A356" i="8"/>
  <c r="A357" i="8"/>
  <c r="A358" i="8"/>
  <c r="A359" i="8"/>
  <c r="AE359" i="8"/>
  <c r="A360" i="8"/>
  <c r="AE360" i="8"/>
  <c r="AK360" i="8"/>
  <c r="A361" i="8"/>
  <c r="AK361" i="8"/>
  <c r="A362" i="8"/>
  <c r="AE362" i="8"/>
  <c r="A363" i="8"/>
  <c r="AE363" i="8"/>
  <c r="AK363" i="8"/>
  <c r="A364" i="8"/>
  <c r="AE364" i="8"/>
  <c r="AK364" i="8"/>
  <c r="A365" i="8"/>
  <c r="AE365" i="8"/>
  <c r="AK365" i="8"/>
  <c r="A366" i="8"/>
  <c r="AK366" i="8" s="1"/>
  <c r="A367" i="8"/>
  <c r="AE367" i="8"/>
  <c r="AK367" i="8"/>
  <c r="A368" i="8"/>
  <c r="AE368" i="8" s="1"/>
  <c r="A369" i="8"/>
  <c r="AK369" i="8"/>
  <c r="A370" i="8"/>
  <c r="AK370" i="8"/>
  <c r="A371" i="8"/>
  <c r="AE371" i="8"/>
  <c r="A372" i="8"/>
  <c r="A373" i="8"/>
  <c r="A374" i="8"/>
  <c r="AE374" i="8"/>
  <c r="AK374" i="8"/>
  <c r="A375" i="8"/>
  <c r="AK375" i="8"/>
  <c r="A376" i="8"/>
  <c r="AE376" i="8"/>
  <c r="AK376" i="8"/>
  <c r="A377" i="8"/>
  <c r="AE377" i="8"/>
  <c r="A378" i="8"/>
  <c r="A379" i="8"/>
  <c r="AK379" i="8"/>
  <c r="A380" i="8"/>
  <c r="AD380" i="8"/>
  <c r="AE380" i="8"/>
  <c r="AH380" i="8"/>
  <c r="AL380" i="8"/>
  <c r="A381" i="8"/>
  <c r="AK381" i="8"/>
  <c r="A382" i="8"/>
  <c r="AD382" i="8"/>
  <c r="AE382" i="8"/>
  <c r="AF382" i="8"/>
  <c r="AH382" i="8"/>
  <c r="AK382" i="8"/>
  <c r="A383" i="8"/>
  <c r="AI383" i="8" s="1"/>
  <c r="AE383" i="8"/>
  <c r="AG383" i="8"/>
  <c r="AH383" i="8"/>
  <c r="AJ383" i="8"/>
  <c r="A384" i="8"/>
  <c r="AL384" i="8" s="1"/>
  <c r="AG384" i="8"/>
  <c r="AH384" i="8"/>
  <c r="AI384" i="8"/>
  <c r="AJ384" i="8"/>
  <c r="A385" i="8"/>
  <c r="AF385" i="8"/>
  <c r="AJ385" i="8"/>
  <c r="AK385" i="8"/>
  <c r="A386" i="8"/>
  <c r="AD386" i="8"/>
  <c r="AE386" i="8"/>
  <c r="AG386" i="8"/>
  <c r="AI386" i="8"/>
  <c r="AL386" i="8"/>
  <c r="A387" i="8"/>
  <c r="AI387" i="8"/>
  <c r="A388" i="8"/>
  <c r="AE388" i="8"/>
  <c r="AI388" i="8"/>
  <c r="AL388" i="8"/>
  <c r="A389" i="8"/>
  <c r="AD389" i="8" s="1"/>
  <c r="A390" i="8"/>
  <c r="AE390" i="8"/>
  <c r="AG390" i="8"/>
  <c r="AL390" i="8"/>
  <c r="A391" i="8"/>
  <c r="AD391" i="8" s="1"/>
  <c r="AE391" i="8"/>
  <c r="AF391" i="8"/>
  <c r="AG391" i="8"/>
  <c r="AI391" i="8"/>
  <c r="A392" i="8"/>
  <c r="AD392" i="8"/>
  <c r="AE392" i="8"/>
  <c r="AI392" i="8"/>
  <c r="AL392" i="8"/>
  <c r="A393" i="8"/>
  <c r="A394" i="8"/>
  <c r="AM394" i="8" s="1"/>
  <c r="A395" i="8"/>
  <c r="AD395" i="8" s="1"/>
  <c r="AE395" i="8"/>
  <c r="AL395" i="8"/>
  <c r="AM395" i="8"/>
  <c r="AO395" i="8"/>
  <c r="A396" i="8"/>
  <c r="AD396" i="8"/>
  <c r="A397" i="8"/>
  <c r="AE397" i="8"/>
  <c r="AG397" i="8"/>
  <c r="AS397" i="8" s="1"/>
  <c r="AL397" i="8"/>
  <c r="AM397" i="8"/>
  <c r="A398" i="8"/>
  <c r="AD398" i="8"/>
  <c r="AP398" i="8" s="1"/>
  <c r="AE398" i="8"/>
  <c r="AF398" i="8"/>
  <c r="AG398" i="8"/>
  <c r="AI398" i="8"/>
  <c r="A399" i="8"/>
  <c r="AD399" i="8"/>
  <c r="AE399" i="8"/>
  <c r="AI399" i="8"/>
  <c r="AO399" i="8"/>
  <c r="A400" i="8"/>
  <c r="AL400" i="8"/>
  <c r="A401" i="8"/>
  <c r="AD401" i="8"/>
  <c r="AE401" i="8"/>
  <c r="A402" i="8"/>
  <c r="AD402" i="8" s="1"/>
  <c r="AE402" i="8"/>
  <c r="AI402" i="8"/>
  <c r="A403" i="8"/>
  <c r="AI403" i="8" s="1"/>
  <c r="AD403" i="8"/>
  <c r="AO403" i="8"/>
  <c r="A404" i="8"/>
  <c r="AD404" i="8"/>
  <c r="AE404" i="8"/>
  <c r="A405" i="8"/>
  <c r="AE405" i="8" s="1"/>
  <c r="AD405" i="8"/>
  <c r="AM405" i="8"/>
  <c r="A406" i="8"/>
  <c r="AD406" i="8" s="1"/>
  <c r="AE406" i="8"/>
  <c r="AI406" i="8"/>
  <c r="A2" i="8"/>
  <c r="AA42" i="2"/>
  <c r="S40" i="8"/>
  <c r="T40" i="8"/>
  <c r="U40" i="8"/>
  <c r="V40" i="8"/>
  <c r="S41" i="8"/>
  <c r="T41" i="8"/>
  <c r="V41" i="8"/>
  <c r="Z41" i="8"/>
  <c r="U2" i="8"/>
  <c r="U42" i="8"/>
  <c r="V42" i="8"/>
  <c r="AA42" i="8"/>
  <c r="S43" i="8"/>
  <c r="T43" i="8"/>
  <c r="U43" i="8"/>
  <c r="V43" i="8"/>
  <c r="AA43" i="8"/>
  <c r="AB43" i="8"/>
  <c r="S44" i="8"/>
  <c r="T44" i="8"/>
  <c r="U44" i="8"/>
  <c r="V44" i="8"/>
  <c r="T45" i="8"/>
  <c r="S46" i="8"/>
  <c r="T46" i="8"/>
  <c r="U46" i="8"/>
  <c r="S47" i="8"/>
  <c r="T47" i="8"/>
  <c r="U47" i="8"/>
  <c r="V47" i="8"/>
  <c r="T48" i="8"/>
  <c r="V48" i="8"/>
  <c r="T49" i="8"/>
  <c r="U49" i="8"/>
  <c r="V49" i="8"/>
  <c r="AB49" i="8"/>
  <c r="T50" i="8"/>
  <c r="U50" i="8"/>
  <c r="U51" i="8"/>
  <c r="V51" i="8"/>
  <c r="T52" i="8"/>
  <c r="S53" i="8"/>
  <c r="T53" i="8"/>
  <c r="U53" i="8"/>
  <c r="V53" i="8"/>
  <c r="T54" i="8"/>
  <c r="U54" i="8"/>
  <c r="V54" i="8"/>
  <c r="S55" i="8"/>
  <c r="T55" i="8"/>
  <c r="U55" i="8"/>
  <c r="V55" i="8"/>
  <c r="AB55" i="8"/>
  <c r="S57" i="8"/>
  <c r="T57" i="8"/>
  <c r="V57" i="8"/>
  <c r="S58" i="8"/>
  <c r="T58" i="8"/>
  <c r="U58" i="8"/>
  <c r="V58" i="8"/>
  <c r="AB58" i="8"/>
  <c r="S59" i="8"/>
  <c r="T59" i="8"/>
  <c r="T60" i="8"/>
  <c r="U60" i="8"/>
  <c r="V60" i="8"/>
  <c r="T4" i="8"/>
  <c r="U4" i="8"/>
  <c r="V4" i="8"/>
  <c r="T61" i="8"/>
  <c r="V61" i="8"/>
  <c r="Z61" i="8"/>
  <c r="S62" i="8"/>
  <c r="T62" i="8"/>
  <c r="U62" i="8"/>
  <c r="V62" i="8"/>
  <c r="Z62" i="8"/>
  <c r="AB62" i="8"/>
  <c r="S5" i="8"/>
  <c r="T5" i="8"/>
  <c r="U5" i="8"/>
  <c r="V5" i="8"/>
  <c r="S63" i="8"/>
  <c r="T63" i="8"/>
  <c r="U63" i="8"/>
  <c r="V63" i="8"/>
  <c r="S64" i="8"/>
  <c r="T64" i="8"/>
  <c r="U64" i="8"/>
  <c r="S65" i="8"/>
  <c r="T65" i="8"/>
  <c r="U65" i="8"/>
  <c r="V65" i="8"/>
  <c r="S66" i="8"/>
  <c r="T66" i="8"/>
  <c r="U66" i="8"/>
  <c r="V66" i="8"/>
  <c r="T67" i="8"/>
  <c r="U67" i="8"/>
  <c r="V67" i="8"/>
  <c r="S68" i="8"/>
  <c r="T68" i="8"/>
  <c r="U68" i="8"/>
  <c r="V68" i="8"/>
  <c r="Y68" i="8"/>
  <c r="S69" i="8"/>
  <c r="V69" i="8"/>
  <c r="X69" i="8"/>
  <c r="Z69" i="8"/>
  <c r="S70" i="8"/>
  <c r="T70" i="8"/>
  <c r="Z70" i="8"/>
  <c r="S71" i="8"/>
  <c r="T71" i="8"/>
  <c r="U71" i="8"/>
  <c r="X71" i="8"/>
  <c r="Z71" i="8"/>
  <c r="S72" i="8"/>
  <c r="T72" i="8"/>
  <c r="U72" i="8"/>
  <c r="V72" i="8"/>
  <c r="X72" i="8"/>
  <c r="S73" i="8"/>
  <c r="U73" i="8"/>
  <c r="V73" i="8"/>
  <c r="Z73" i="8"/>
  <c r="S74" i="8"/>
  <c r="T74" i="8"/>
  <c r="U74" i="8"/>
  <c r="V74" i="8"/>
  <c r="Z74" i="8"/>
  <c r="AB74" i="8"/>
  <c r="S75" i="8"/>
  <c r="T75" i="8"/>
  <c r="U75" i="8"/>
  <c r="V75" i="8"/>
  <c r="Z75" i="8"/>
  <c r="AB75" i="8"/>
  <c r="U76" i="8"/>
  <c r="V76" i="8"/>
  <c r="S77" i="8"/>
  <c r="T77" i="8"/>
  <c r="U77" i="8"/>
  <c r="X77" i="8"/>
  <c r="S78" i="8"/>
  <c r="T78" i="8"/>
  <c r="U78" i="8"/>
  <c r="V78" i="8"/>
  <c r="S6" i="8"/>
  <c r="T6" i="8"/>
  <c r="U6" i="8"/>
  <c r="V6" i="8"/>
  <c r="X6" i="8"/>
  <c r="Z6" i="8"/>
  <c r="S7" i="8"/>
  <c r="T7" i="8"/>
  <c r="U7" i="8"/>
  <c r="V7" i="8"/>
  <c r="Z7" i="8"/>
  <c r="T79" i="8"/>
  <c r="U79" i="8"/>
  <c r="V79" i="8"/>
  <c r="X79" i="8"/>
  <c r="U80" i="8"/>
  <c r="V80" i="8"/>
  <c r="S81" i="8"/>
  <c r="V81" i="8"/>
  <c r="X81" i="8"/>
  <c r="S82" i="8"/>
  <c r="T82" i="8"/>
  <c r="U82" i="8"/>
  <c r="V82" i="8"/>
  <c r="X82" i="8"/>
  <c r="AB82" i="8"/>
  <c r="S83" i="8"/>
  <c r="T83" i="8"/>
  <c r="V83" i="8"/>
  <c r="AB83" i="8"/>
  <c r="S84" i="8"/>
  <c r="T84" i="8"/>
  <c r="S85" i="8"/>
  <c r="T85" i="8"/>
  <c r="U85" i="8"/>
  <c r="S86" i="8"/>
  <c r="T86" i="8"/>
  <c r="U86" i="8"/>
  <c r="V86" i="8"/>
  <c r="X86" i="8"/>
  <c r="AB86" i="8"/>
  <c r="S87" i="8"/>
  <c r="T87" i="8"/>
  <c r="S88" i="8"/>
  <c r="T88" i="8"/>
  <c r="U88" i="8"/>
  <c r="V88" i="8"/>
  <c r="AB88" i="8"/>
  <c r="S89" i="8"/>
  <c r="T89" i="8"/>
  <c r="U89" i="8"/>
  <c r="V89" i="8"/>
  <c r="S90" i="8"/>
  <c r="T90" i="8"/>
  <c r="U90" i="8"/>
  <c r="V90" i="8"/>
  <c r="W90" i="8"/>
  <c r="Z90" i="8"/>
  <c r="S91" i="8"/>
  <c r="T91" i="8"/>
  <c r="U91" i="8"/>
  <c r="V91" i="8"/>
  <c r="X91" i="8"/>
  <c r="Z91" i="8"/>
  <c r="T92" i="8"/>
  <c r="U92" i="8"/>
  <c r="V92" i="8"/>
  <c r="X92" i="8"/>
  <c r="S93" i="8"/>
  <c r="T93" i="8"/>
  <c r="U93" i="8"/>
  <c r="X93" i="8"/>
  <c r="Z93" i="8"/>
  <c r="S94" i="8"/>
  <c r="T94" i="8"/>
  <c r="U94" i="8"/>
  <c r="V94" i="8"/>
  <c r="X94" i="8"/>
  <c r="Z94" i="8"/>
  <c r="AB94" i="8"/>
  <c r="S95" i="8"/>
  <c r="T95" i="8"/>
  <c r="U95" i="8"/>
  <c r="V95" i="8"/>
  <c r="X95" i="8"/>
  <c r="Z95" i="8"/>
  <c r="T96" i="8"/>
  <c r="U96" i="8"/>
  <c r="V96" i="8"/>
  <c r="X96" i="8"/>
  <c r="Z96" i="8"/>
  <c r="S97" i="8"/>
  <c r="T97" i="8"/>
  <c r="U97" i="8"/>
  <c r="V97" i="8"/>
  <c r="X97" i="8"/>
  <c r="AB97" i="8"/>
  <c r="S99" i="8"/>
  <c r="V99" i="8"/>
  <c r="S100" i="8"/>
  <c r="T100" i="8"/>
  <c r="U100" i="8"/>
  <c r="V100" i="8"/>
  <c r="X100" i="8"/>
  <c r="Z100" i="8"/>
  <c r="AB100" i="8"/>
  <c r="S101" i="8"/>
  <c r="T101" i="8"/>
  <c r="U101" i="8"/>
  <c r="V101" i="8"/>
  <c r="AB101" i="8"/>
  <c r="T102" i="8"/>
  <c r="X102" i="8"/>
  <c r="S103" i="8"/>
  <c r="T103" i="8"/>
  <c r="U103" i="8"/>
  <c r="X103" i="8"/>
  <c r="S104" i="8"/>
  <c r="T104" i="8"/>
  <c r="U104" i="8"/>
  <c r="V104" i="8"/>
  <c r="U105" i="8"/>
  <c r="T106" i="8"/>
  <c r="U106" i="8"/>
  <c r="V106" i="8"/>
  <c r="X106" i="8"/>
  <c r="AA106" i="8"/>
  <c r="T107" i="8"/>
  <c r="U107" i="8"/>
  <c r="X107" i="8"/>
  <c r="AB107" i="8"/>
  <c r="T108" i="8"/>
  <c r="U108" i="8"/>
  <c r="V108" i="8"/>
  <c r="AB108" i="8"/>
  <c r="S109" i="8"/>
  <c r="T109" i="8"/>
  <c r="U109" i="8"/>
  <c r="V109" i="8"/>
  <c r="S110" i="8"/>
  <c r="T110" i="8"/>
  <c r="U110" i="8"/>
  <c r="V110" i="8"/>
  <c r="AB110" i="8"/>
  <c r="T111" i="8"/>
  <c r="U111" i="8"/>
  <c r="V111" i="8"/>
  <c r="AB111" i="8"/>
  <c r="S112" i="8"/>
  <c r="T112" i="8"/>
  <c r="U112" i="8"/>
  <c r="V112" i="8"/>
  <c r="AB112" i="8"/>
  <c r="S113" i="8"/>
  <c r="T113" i="8"/>
  <c r="U113" i="8"/>
  <c r="X113" i="8"/>
  <c r="AB113" i="8"/>
  <c r="S114" i="8"/>
  <c r="T114" i="8"/>
  <c r="U114" i="8"/>
  <c r="V114" i="8"/>
  <c r="AB114" i="8"/>
  <c r="S115" i="8"/>
  <c r="T115" i="8"/>
  <c r="U115" i="8"/>
  <c r="V115" i="8"/>
  <c r="X115" i="8"/>
  <c r="AB115" i="8"/>
  <c r="T116" i="8"/>
  <c r="U116" i="8"/>
  <c r="AB116" i="8"/>
  <c r="T117" i="8"/>
  <c r="U117" i="8"/>
  <c r="V117" i="8"/>
  <c r="AB117" i="8"/>
  <c r="T118" i="8"/>
  <c r="U118" i="8"/>
  <c r="V118" i="8"/>
  <c r="X118" i="8"/>
  <c r="AB118" i="8"/>
  <c r="S119" i="8"/>
  <c r="S120" i="8"/>
  <c r="T120" i="8"/>
  <c r="U120" i="8"/>
  <c r="V120" i="8"/>
  <c r="W120" i="8"/>
  <c r="S121" i="8"/>
  <c r="T121" i="8"/>
  <c r="V121" i="8"/>
  <c r="X121" i="8"/>
  <c r="AB121" i="8"/>
  <c r="S122" i="8"/>
  <c r="T122" i="8"/>
  <c r="U122" i="8"/>
  <c r="V122" i="8"/>
  <c r="X122" i="8"/>
  <c r="AB122" i="8"/>
  <c r="S123" i="8"/>
  <c r="T123" i="8"/>
  <c r="U123" i="8"/>
  <c r="V123" i="8"/>
  <c r="AB123" i="8"/>
  <c r="S124" i="8"/>
  <c r="T124" i="8"/>
  <c r="U124" i="8"/>
  <c r="V124" i="8"/>
  <c r="X124" i="8"/>
  <c r="AB124" i="8"/>
  <c r="S125" i="8"/>
  <c r="T125" i="8"/>
  <c r="U125" i="8"/>
  <c r="X125" i="8"/>
  <c r="AB125" i="8"/>
  <c r="S126" i="8"/>
  <c r="T126" i="8"/>
  <c r="U126" i="8"/>
  <c r="V126" i="8"/>
  <c r="AB126" i="8"/>
  <c r="S127" i="8"/>
  <c r="T127" i="8"/>
  <c r="U127" i="8"/>
  <c r="V127" i="8"/>
  <c r="X127" i="8"/>
  <c r="Z127" i="8"/>
  <c r="AB127" i="8"/>
  <c r="S128" i="8"/>
  <c r="T128" i="8"/>
  <c r="U128" i="8"/>
  <c r="V128" i="8"/>
  <c r="AB128" i="8"/>
  <c r="S129" i="8"/>
  <c r="T129" i="8"/>
  <c r="U129" i="8"/>
  <c r="V129" i="8"/>
  <c r="AB129" i="8"/>
  <c r="S130" i="8"/>
  <c r="T130" i="8"/>
  <c r="V130" i="8"/>
  <c r="X130" i="8"/>
  <c r="T131" i="8"/>
  <c r="U131" i="8"/>
  <c r="V131" i="8"/>
  <c r="AB131" i="8"/>
  <c r="T132" i="8"/>
  <c r="U132" i="8"/>
  <c r="AB132" i="8"/>
  <c r="T133" i="8"/>
  <c r="U133" i="8"/>
  <c r="V133" i="8"/>
  <c r="AB133" i="8"/>
  <c r="T134" i="8"/>
  <c r="U134" i="8"/>
  <c r="V134" i="8"/>
  <c r="T135" i="8"/>
  <c r="U135" i="8"/>
  <c r="V135" i="8"/>
  <c r="X135" i="8"/>
  <c r="AB135" i="8"/>
  <c r="U136" i="8"/>
  <c r="T137" i="8"/>
  <c r="U137" i="8"/>
  <c r="V137" i="8"/>
  <c r="X137" i="8"/>
  <c r="AB137" i="8"/>
  <c r="S138" i="8"/>
  <c r="T138" i="8"/>
  <c r="U138" i="8"/>
  <c r="V138" i="8"/>
  <c r="AB138" i="8"/>
  <c r="T139" i="8"/>
  <c r="U139" i="8"/>
  <c r="V139" i="8"/>
  <c r="S140" i="8"/>
  <c r="T140" i="8"/>
  <c r="U140" i="8"/>
  <c r="V140" i="8"/>
  <c r="S141" i="8"/>
  <c r="T141" i="8"/>
  <c r="U141" i="8"/>
  <c r="V141" i="8"/>
  <c r="S8" i="8"/>
  <c r="T8" i="8"/>
  <c r="U8" i="8"/>
  <c r="V8" i="8"/>
  <c r="S142" i="8"/>
  <c r="T142" i="8"/>
  <c r="U142" i="8"/>
  <c r="V142" i="8"/>
  <c r="AB142" i="8"/>
  <c r="S143" i="8"/>
  <c r="T143" i="8"/>
  <c r="U143" i="8"/>
  <c r="X143" i="8"/>
  <c r="Z143" i="8"/>
  <c r="AB143" i="8"/>
  <c r="T144" i="8"/>
  <c r="V144" i="8"/>
  <c r="X144" i="8"/>
  <c r="Y144" i="8"/>
  <c r="Z144" i="8"/>
  <c r="AB144" i="8"/>
  <c r="S145" i="8"/>
  <c r="T145" i="8"/>
  <c r="U145" i="8"/>
  <c r="V145" i="8"/>
  <c r="X145" i="8"/>
  <c r="AB145" i="8"/>
  <c r="AC145" i="8"/>
  <c r="S146" i="8"/>
  <c r="T146" i="8"/>
  <c r="U146" i="8"/>
  <c r="V146" i="8"/>
  <c r="X146" i="8"/>
  <c r="Z146" i="8"/>
  <c r="AB146" i="8"/>
  <c r="T147" i="8"/>
  <c r="U147" i="8"/>
  <c r="V147" i="8"/>
  <c r="Z147" i="8"/>
  <c r="AB147" i="8"/>
  <c r="S148" i="8"/>
  <c r="T148" i="8"/>
  <c r="U148" i="8"/>
  <c r="V148" i="8"/>
  <c r="Z148" i="8"/>
  <c r="AB148" i="8"/>
  <c r="S149" i="8"/>
  <c r="T149" i="8"/>
  <c r="U149" i="8"/>
  <c r="V149" i="8"/>
  <c r="X149" i="8"/>
  <c r="Z149" i="8"/>
  <c r="AB149" i="8"/>
  <c r="S150" i="8"/>
  <c r="T150" i="8"/>
  <c r="U150" i="8"/>
  <c r="V150" i="8"/>
  <c r="W150" i="8"/>
  <c r="Z150" i="8"/>
  <c r="AB150" i="8"/>
  <c r="T9" i="8"/>
  <c r="V9" i="8"/>
  <c r="AB9" i="8"/>
  <c r="S11" i="8"/>
  <c r="T11" i="8"/>
  <c r="U11" i="8"/>
  <c r="V11" i="8"/>
  <c r="X11" i="8"/>
  <c r="AB11" i="8"/>
  <c r="S151" i="8"/>
  <c r="T151" i="8"/>
  <c r="AB151" i="8"/>
  <c r="S152" i="8"/>
  <c r="T152" i="8"/>
  <c r="U152" i="8"/>
  <c r="V152" i="8"/>
  <c r="Z152" i="8"/>
  <c r="AB152" i="8"/>
  <c r="T153" i="8"/>
  <c r="U153" i="8"/>
  <c r="V153" i="8"/>
  <c r="AB153" i="8"/>
  <c r="T154" i="8"/>
  <c r="U154" i="8"/>
  <c r="V154" i="8"/>
  <c r="W154" i="8"/>
  <c r="AB154" i="8"/>
  <c r="T155" i="8"/>
  <c r="U155" i="8"/>
  <c r="V155" i="8"/>
  <c r="X155" i="8"/>
  <c r="AB155" i="8"/>
  <c r="T156" i="8"/>
  <c r="U156" i="8"/>
  <c r="V156" i="8"/>
  <c r="Z156" i="8"/>
  <c r="AB156" i="8"/>
  <c r="T157" i="8"/>
  <c r="U157" i="8"/>
  <c r="V157" i="8"/>
  <c r="X157" i="8"/>
  <c r="AB157" i="8"/>
  <c r="S158" i="8"/>
  <c r="T158" i="8"/>
  <c r="V158" i="8"/>
  <c r="X158" i="8"/>
  <c r="Z158" i="8"/>
  <c r="S159" i="8"/>
  <c r="T159" i="8"/>
  <c r="V159" i="8"/>
  <c r="X159" i="8"/>
  <c r="Z159" i="8"/>
  <c r="AB159" i="8"/>
  <c r="T160" i="8"/>
  <c r="U160" i="8"/>
  <c r="V160" i="8"/>
  <c r="AB160" i="8"/>
  <c r="S161" i="8"/>
  <c r="T161" i="8"/>
  <c r="V161" i="8"/>
  <c r="X161" i="8"/>
  <c r="Z161" i="8"/>
  <c r="AB161" i="8"/>
  <c r="S162" i="8"/>
  <c r="T162" i="8"/>
  <c r="U162" i="8"/>
  <c r="V162" i="8"/>
  <c r="W162" i="8"/>
  <c r="X162" i="8"/>
  <c r="AB162" i="8"/>
  <c r="S163" i="8"/>
  <c r="T163" i="8"/>
  <c r="AB163" i="8"/>
  <c r="T164" i="8"/>
  <c r="U164" i="8"/>
  <c r="V164" i="8"/>
  <c r="X164" i="8"/>
  <c r="AB164" i="8"/>
  <c r="T165" i="8"/>
  <c r="U165" i="8"/>
  <c r="V165" i="8"/>
  <c r="AB165" i="8"/>
  <c r="T166" i="8"/>
  <c r="U166" i="8"/>
  <c r="V166" i="8"/>
  <c r="AB166" i="8"/>
  <c r="S167" i="8"/>
  <c r="T167" i="8"/>
  <c r="V167" i="8"/>
  <c r="X167" i="8"/>
  <c r="Z167" i="8"/>
  <c r="AB167" i="8"/>
  <c r="S168" i="8"/>
  <c r="T168" i="8"/>
  <c r="U168" i="8"/>
  <c r="V168" i="8"/>
  <c r="X168" i="8"/>
  <c r="T169" i="8"/>
  <c r="V169" i="8"/>
  <c r="Z169" i="8"/>
  <c r="T170" i="8"/>
  <c r="U170" i="8"/>
  <c r="V170" i="8"/>
  <c r="AB170" i="8"/>
  <c r="T171" i="8"/>
  <c r="U171" i="8"/>
  <c r="V171" i="8"/>
  <c r="AB171" i="8"/>
  <c r="T172" i="8"/>
  <c r="V172" i="8"/>
  <c r="X172" i="8"/>
  <c r="Z172" i="8"/>
  <c r="AB172" i="8"/>
  <c r="T12" i="8"/>
  <c r="V12" i="8"/>
  <c r="X12" i="8"/>
  <c r="AB12" i="8"/>
  <c r="S173" i="8"/>
  <c r="T173" i="8"/>
  <c r="U173" i="8"/>
  <c r="V173" i="8"/>
  <c r="W173" i="8"/>
  <c r="X173" i="8"/>
  <c r="AB173" i="8"/>
  <c r="T174" i="8"/>
  <c r="Z174" i="8"/>
  <c r="AB174" i="8"/>
  <c r="S175" i="8"/>
  <c r="T175" i="8"/>
  <c r="V175" i="8"/>
  <c r="X175" i="8"/>
  <c r="AB175" i="8"/>
  <c r="T176" i="8"/>
  <c r="U176" i="8"/>
  <c r="V176" i="8"/>
  <c r="AB176" i="8"/>
  <c r="S177" i="8"/>
  <c r="T177" i="8"/>
  <c r="V177" i="8"/>
  <c r="X177" i="8"/>
  <c r="AB177" i="8"/>
  <c r="S178" i="8"/>
  <c r="T178" i="8"/>
  <c r="U178" i="8"/>
  <c r="V178" i="8"/>
  <c r="Z178" i="8"/>
  <c r="AB178" i="8"/>
  <c r="T179" i="8"/>
  <c r="U179" i="8"/>
  <c r="V179" i="8"/>
  <c r="AB179" i="8"/>
  <c r="S180" i="8"/>
  <c r="T180" i="8"/>
  <c r="V180" i="8"/>
  <c r="Z180" i="8"/>
  <c r="AB180" i="8"/>
  <c r="S181" i="8"/>
  <c r="T181" i="8"/>
  <c r="U181" i="8"/>
  <c r="V181" i="8"/>
  <c r="X181" i="8"/>
  <c r="AB181" i="8"/>
  <c r="T182" i="8"/>
  <c r="U182" i="8"/>
  <c r="V182" i="8"/>
  <c r="AB182" i="8"/>
  <c r="T13" i="8"/>
  <c r="U13" i="8"/>
  <c r="V13" i="8"/>
  <c r="AB13" i="8"/>
  <c r="T183" i="8"/>
  <c r="U183" i="8"/>
  <c r="V183" i="8"/>
  <c r="AB183" i="8"/>
  <c r="S184" i="8"/>
  <c r="T184" i="8"/>
  <c r="U184" i="8"/>
  <c r="V184" i="8"/>
  <c r="Z184" i="8"/>
  <c r="AB184" i="8"/>
  <c r="S185" i="8"/>
  <c r="T185" i="8"/>
  <c r="X185" i="8"/>
  <c r="Z185" i="8"/>
  <c r="AB185" i="8"/>
  <c r="S186" i="8"/>
  <c r="T186" i="8"/>
  <c r="U186" i="8"/>
  <c r="V186" i="8"/>
  <c r="AB186" i="8"/>
  <c r="T187" i="8"/>
  <c r="V187" i="8"/>
  <c r="AB187" i="8"/>
  <c r="T188" i="8"/>
  <c r="U188" i="8"/>
  <c r="V188" i="8"/>
  <c r="AB188" i="8"/>
  <c r="T189" i="8"/>
  <c r="V189" i="8"/>
  <c r="Z189" i="8"/>
  <c r="AB189" i="8"/>
  <c r="S190" i="8"/>
  <c r="T190" i="8"/>
  <c r="U190" i="8"/>
  <c r="V190" i="8"/>
  <c r="X190" i="8"/>
  <c r="S191" i="8"/>
  <c r="T191" i="8"/>
  <c r="U191" i="8"/>
  <c r="V191" i="8"/>
  <c r="X191" i="8"/>
  <c r="AB191" i="8"/>
  <c r="S192" i="8"/>
  <c r="T192" i="8"/>
  <c r="U192" i="8"/>
  <c r="V192" i="8"/>
  <c r="AB192" i="8"/>
  <c r="S193" i="8"/>
  <c r="T193" i="8"/>
  <c r="U193" i="8"/>
  <c r="V193" i="8"/>
  <c r="AB193" i="8"/>
  <c r="S194" i="8"/>
  <c r="T194" i="8"/>
  <c r="U194" i="8"/>
  <c r="V194" i="8"/>
  <c r="X194" i="8"/>
  <c r="Z194" i="8"/>
  <c r="AB194" i="8"/>
  <c r="U14" i="8"/>
  <c r="V14" i="8"/>
  <c r="X14" i="8"/>
  <c r="Z14" i="8"/>
  <c r="AB14" i="8"/>
  <c r="T195" i="8"/>
  <c r="U195" i="8"/>
  <c r="V195" i="8"/>
  <c r="AB195" i="8"/>
  <c r="T196" i="8"/>
  <c r="V196" i="8"/>
  <c r="X196" i="8"/>
  <c r="AB196" i="8"/>
  <c r="S197" i="8"/>
  <c r="T197" i="8"/>
  <c r="U197" i="8"/>
  <c r="V197" i="8"/>
  <c r="W197" i="8"/>
  <c r="Z197" i="8"/>
  <c r="AA197" i="8"/>
  <c r="S198" i="8"/>
  <c r="T198" i="8"/>
  <c r="U198" i="8"/>
  <c r="V198" i="8"/>
  <c r="W198" i="8"/>
  <c r="Z198" i="8"/>
  <c r="S199" i="8"/>
  <c r="T199" i="8"/>
  <c r="U199" i="8"/>
  <c r="V199" i="8"/>
  <c r="Z199" i="8"/>
  <c r="S200" i="8"/>
  <c r="T200" i="8"/>
  <c r="U200" i="8"/>
  <c r="V200" i="8"/>
  <c r="X200" i="8"/>
  <c r="AB200" i="8"/>
  <c r="T201" i="8"/>
  <c r="U201" i="8"/>
  <c r="V201" i="8"/>
  <c r="AB201" i="8"/>
  <c r="T15" i="8"/>
  <c r="V15" i="8"/>
  <c r="X15" i="8"/>
  <c r="AB15" i="8"/>
  <c r="T202" i="8"/>
  <c r="V202" i="8"/>
  <c r="X202" i="8"/>
  <c r="AB202" i="8"/>
  <c r="T203" i="8"/>
  <c r="V203" i="8"/>
  <c r="X203" i="8"/>
  <c r="AB203" i="8"/>
  <c r="T16" i="8"/>
  <c r="V16" i="8"/>
  <c r="X16" i="8"/>
  <c r="AB16" i="8"/>
  <c r="T204" i="8"/>
  <c r="V204" i="8"/>
  <c r="X204" i="8"/>
  <c r="AB204" i="8"/>
  <c r="R205" i="8"/>
  <c r="T205" i="8"/>
  <c r="V205" i="8"/>
  <c r="T206" i="8"/>
  <c r="V206" i="8"/>
  <c r="X206" i="8"/>
  <c r="T207" i="8"/>
  <c r="V207" i="8"/>
  <c r="X207" i="8"/>
  <c r="S208" i="8"/>
  <c r="T208" i="8"/>
  <c r="U208" i="8"/>
  <c r="V208" i="8"/>
  <c r="W208" i="8"/>
  <c r="Z208" i="8"/>
  <c r="S209" i="8"/>
  <c r="T209" i="8"/>
  <c r="U209" i="8"/>
  <c r="V209" i="8"/>
  <c r="S17" i="8"/>
  <c r="T17" i="8"/>
  <c r="U17" i="8"/>
  <c r="V17" i="8"/>
  <c r="S210" i="8"/>
  <c r="T210" i="8"/>
  <c r="U210" i="8"/>
  <c r="V210" i="8"/>
  <c r="Z210" i="8"/>
  <c r="S211" i="8"/>
  <c r="T211" i="8"/>
  <c r="U211" i="8"/>
  <c r="V211" i="8"/>
  <c r="Z211" i="8"/>
  <c r="S212" i="8"/>
  <c r="T212" i="8"/>
  <c r="U212" i="8"/>
  <c r="V212" i="8"/>
  <c r="X212" i="8"/>
  <c r="AB212" i="8"/>
  <c r="S213" i="8"/>
  <c r="T213" i="8"/>
  <c r="U213" i="8"/>
  <c r="V213" i="8"/>
  <c r="AB213" i="8"/>
  <c r="S214" i="8"/>
  <c r="T214" i="8"/>
  <c r="U214" i="8"/>
  <c r="V214" i="8"/>
  <c r="AB214" i="8"/>
  <c r="S215" i="8"/>
  <c r="T215" i="8"/>
  <c r="U215" i="8"/>
  <c r="V215" i="8"/>
  <c r="AB215" i="8"/>
  <c r="S216" i="8"/>
  <c r="T216" i="8"/>
  <c r="AB216" i="8"/>
  <c r="U217" i="8"/>
  <c r="V217" i="8"/>
  <c r="AB217" i="8"/>
  <c r="S218" i="8"/>
  <c r="T218" i="8"/>
  <c r="U218" i="8"/>
  <c r="V218" i="8"/>
  <c r="AB218" i="8"/>
  <c r="S18" i="8"/>
  <c r="T18" i="8"/>
  <c r="U18" i="8"/>
  <c r="V18" i="8"/>
  <c r="AB18" i="8"/>
  <c r="S219" i="8"/>
  <c r="T219" i="8"/>
  <c r="U219" i="8"/>
  <c r="V219" i="8"/>
  <c r="S220" i="8"/>
  <c r="T220" i="8"/>
  <c r="S19" i="8"/>
  <c r="T19" i="8"/>
  <c r="U19" i="8"/>
  <c r="V19" i="8"/>
  <c r="S20" i="8"/>
  <c r="T20" i="8"/>
  <c r="U20" i="8"/>
  <c r="V20" i="8"/>
  <c r="X20" i="8"/>
  <c r="S21" i="8"/>
  <c r="T21" i="8"/>
  <c r="S221" i="8"/>
  <c r="T221" i="8"/>
  <c r="U221" i="8"/>
  <c r="V221" i="8"/>
  <c r="S222" i="8"/>
  <c r="T222" i="8"/>
  <c r="AB222" i="8"/>
  <c r="S223" i="8"/>
  <c r="T223" i="8"/>
  <c r="U223" i="8"/>
  <c r="V223" i="8"/>
  <c r="AB223" i="8"/>
  <c r="T224" i="8"/>
  <c r="U224" i="8"/>
  <c r="V224" i="8"/>
  <c r="AB224" i="8"/>
  <c r="T225" i="8"/>
  <c r="U225" i="8"/>
  <c r="V225" i="8"/>
  <c r="AA225" i="8"/>
  <c r="AB225" i="8"/>
  <c r="T227" i="8"/>
  <c r="U227" i="8"/>
  <c r="V227" i="8"/>
  <c r="AB227" i="8"/>
  <c r="T228" i="8"/>
  <c r="U228" i="8"/>
  <c r="V228" i="8"/>
  <c r="T22" i="8"/>
  <c r="U22" i="8"/>
  <c r="V22" i="8"/>
  <c r="AB22" i="8"/>
  <c r="T23" i="8"/>
  <c r="V23" i="8"/>
  <c r="AB23" i="8"/>
  <c r="T229" i="8"/>
  <c r="U229" i="8"/>
  <c r="V229" i="8"/>
  <c r="AB229" i="8"/>
  <c r="T230" i="8"/>
  <c r="V230" i="8"/>
  <c r="AB230" i="8"/>
  <c r="S231" i="8"/>
  <c r="T231" i="8"/>
  <c r="U231" i="8"/>
  <c r="V231" i="8"/>
  <c r="AB231" i="8"/>
  <c r="T232" i="8"/>
  <c r="U232" i="8"/>
  <c r="V232" i="8"/>
  <c r="Z232" i="8"/>
  <c r="AC232" i="8"/>
  <c r="T233" i="8"/>
  <c r="U233" i="8"/>
  <c r="V233" i="8"/>
  <c r="T234" i="8"/>
  <c r="V234" i="8"/>
  <c r="AB234" i="8"/>
  <c r="U235" i="8"/>
  <c r="V235" i="8"/>
  <c r="AB235" i="8"/>
  <c r="S236" i="8"/>
  <c r="T236" i="8"/>
  <c r="U236" i="8"/>
  <c r="V236" i="8"/>
  <c r="Y236" i="8"/>
  <c r="Z236" i="8"/>
  <c r="AB236" i="8"/>
  <c r="S237" i="8"/>
  <c r="T237" i="8"/>
  <c r="V237" i="8"/>
  <c r="Z237" i="8"/>
  <c r="AB237" i="8"/>
  <c r="T238" i="8"/>
  <c r="U238" i="8"/>
  <c r="V238" i="8"/>
  <c r="Y238" i="8"/>
  <c r="AB238" i="8"/>
  <c r="T239" i="8"/>
  <c r="U239" i="8"/>
  <c r="V239" i="8"/>
  <c r="X239" i="8"/>
  <c r="S240" i="8"/>
  <c r="T240" i="8"/>
  <c r="U240" i="8"/>
  <c r="V240" i="8"/>
  <c r="Y240" i="8"/>
  <c r="Z240" i="8"/>
  <c r="AB240" i="8"/>
  <c r="AC240" i="8"/>
  <c r="V24" i="8"/>
  <c r="AB24" i="8"/>
  <c r="T241" i="8"/>
  <c r="U241" i="8"/>
  <c r="V241" i="8"/>
  <c r="AB241" i="8"/>
  <c r="T242" i="8"/>
  <c r="U242" i="8"/>
  <c r="V242" i="8"/>
  <c r="X242" i="8"/>
  <c r="AB242" i="8"/>
  <c r="S243" i="8"/>
  <c r="T243" i="8"/>
  <c r="U243" i="8"/>
  <c r="V243" i="8"/>
  <c r="AB243" i="8"/>
  <c r="S244" i="8"/>
  <c r="T244" i="8"/>
  <c r="U244" i="8"/>
  <c r="V244" i="8"/>
  <c r="AB244" i="8"/>
  <c r="S245" i="8"/>
  <c r="T245" i="8"/>
  <c r="U245" i="8"/>
  <c r="V245" i="8"/>
  <c r="X245" i="8"/>
  <c r="S246" i="8"/>
  <c r="T246" i="8"/>
  <c r="U246" i="8"/>
  <c r="V246" i="8"/>
  <c r="X246" i="8"/>
  <c r="AB246" i="8"/>
  <c r="S247" i="8"/>
  <c r="T247" i="8"/>
  <c r="V247" i="8"/>
  <c r="X247" i="8"/>
  <c r="S248" i="8"/>
  <c r="T248" i="8"/>
  <c r="U248" i="8"/>
  <c r="V248" i="8"/>
  <c r="X248" i="8"/>
  <c r="S249" i="8"/>
  <c r="T249" i="8"/>
  <c r="U249" i="8"/>
  <c r="V249" i="8"/>
  <c r="X249" i="8"/>
  <c r="AB249" i="8"/>
  <c r="S250" i="8"/>
  <c r="T250" i="8"/>
  <c r="U250" i="8"/>
  <c r="V250" i="8"/>
  <c r="X250" i="8"/>
  <c r="T251" i="8"/>
  <c r="U251" i="8"/>
  <c r="V251" i="8"/>
  <c r="AB251" i="8"/>
  <c r="T252" i="8"/>
  <c r="U252" i="8"/>
  <c r="V252" i="8"/>
  <c r="Y252" i="8"/>
  <c r="AB252" i="8"/>
  <c r="S253" i="8"/>
  <c r="T253" i="8"/>
  <c r="U253" i="8"/>
  <c r="V253" i="8"/>
  <c r="X253" i="8"/>
  <c r="Z253" i="8"/>
  <c r="AB253" i="8"/>
  <c r="S254" i="8"/>
  <c r="T254" i="8"/>
  <c r="U254" i="8"/>
  <c r="V254" i="8"/>
  <c r="Z254" i="8"/>
  <c r="AB254" i="8"/>
  <c r="S255" i="8"/>
  <c r="T255" i="8"/>
  <c r="U255" i="8"/>
  <c r="V255" i="8"/>
  <c r="Z255" i="8"/>
  <c r="AB255" i="8"/>
  <c r="S256" i="8"/>
  <c r="T256" i="8"/>
  <c r="U256" i="8"/>
  <c r="V256" i="8"/>
  <c r="X256" i="8"/>
  <c r="Z256" i="8"/>
  <c r="AB256" i="8"/>
  <c r="S257" i="8"/>
  <c r="T257" i="8"/>
  <c r="U257" i="8"/>
  <c r="V257" i="8"/>
  <c r="X257" i="8"/>
  <c r="Z257" i="8"/>
  <c r="AB257" i="8"/>
  <c r="S258" i="8"/>
  <c r="T258" i="8"/>
  <c r="U258" i="8"/>
  <c r="V258" i="8"/>
  <c r="X258" i="8"/>
  <c r="Z258" i="8"/>
  <c r="AB258" i="8"/>
  <c r="S25" i="8"/>
  <c r="T25" i="8"/>
  <c r="U25" i="8"/>
  <c r="V25" i="8"/>
  <c r="X25" i="8"/>
  <c r="Z25" i="8"/>
  <c r="AB25" i="8"/>
  <c r="S259" i="8"/>
  <c r="T259" i="8"/>
  <c r="U259" i="8"/>
  <c r="V259" i="8"/>
  <c r="AB259" i="8"/>
  <c r="S260" i="8"/>
  <c r="T260" i="8"/>
  <c r="U260" i="8"/>
  <c r="V260" i="8"/>
  <c r="AB260" i="8"/>
  <c r="S261" i="8"/>
  <c r="T261" i="8"/>
  <c r="U261" i="8"/>
  <c r="V261" i="8"/>
  <c r="AB261" i="8"/>
  <c r="S262" i="8"/>
  <c r="T262" i="8"/>
  <c r="U262" i="8"/>
  <c r="V262" i="8"/>
  <c r="X262" i="8"/>
  <c r="Z262" i="8"/>
  <c r="AB262" i="8"/>
  <c r="S263" i="8"/>
  <c r="T263" i="8"/>
  <c r="V263" i="8"/>
  <c r="X263" i="8"/>
  <c r="AB263" i="8"/>
  <c r="S26" i="8"/>
  <c r="T26" i="8"/>
  <c r="U26" i="8"/>
  <c r="V26" i="8"/>
  <c r="X26" i="8"/>
  <c r="AB26" i="8"/>
  <c r="S264" i="8"/>
  <c r="T264" i="8"/>
  <c r="V264" i="8"/>
  <c r="Z264" i="8"/>
  <c r="AB264" i="8"/>
  <c r="S265" i="8"/>
  <c r="T265" i="8"/>
  <c r="U265" i="8"/>
  <c r="V265" i="8"/>
  <c r="Z265" i="8"/>
  <c r="AB265" i="8"/>
  <c r="S266" i="8"/>
  <c r="T266" i="8"/>
  <c r="U266" i="8"/>
  <c r="V266" i="8"/>
  <c r="X266" i="8"/>
  <c r="Z266" i="8"/>
  <c r="AB266" i="8"/>
  <c r="S267" i="8"/>
  <c r="T267" i="8"/>
  <c r="U267" i="8"/>
  <c r="V267" i="8"/>
  <c r="AB267" i="8"/>
  <c r="S268" i="8"/>
  <c r="T268" i="8"/>
  <c r="U268" i="8"/>
  <c r="V268" i="8"/>
  <c r="X268" i="8"/>
  <c r="AB268" i="8"/>
  <c r="S269" i="8"/>
  <c r="T269" i="8"/>
  <c r="U269" i="8"/>
  <c r="V269" i="8"/>
  <c r="X269" i="8"/>
  <c r="AB269" i="8"/>
  <c r="S270" i="8"/>
  <c r="T270" i="8"/>
  <c r="U270" i="8"/>
  <c r="V270" i="8"/>
  <c r="AB270" i="8"/>
  <c r="S271" i="8"/>
  <c r="T271" i="8"/>
  <c r="U271" i="8"/>
  <c r="V271" i="8"/>
  <c r="X271" i="8"/>
  <c r="S272" i="8"/>
  <c r="T272" i="8"/>
  <c r="U272" i="8"/>
  <c r="V272" i="8"/>
  <c r="Z272" i="8"/>
  <c r="AB272" i="8"/>
  <c r="T273" i="8"/>
  <c r="V273" i="8"/>
  <c r="X273" i="8"/>
  <c r="Z273" i="8"/>
  <c r="AB273" i="8"/>
  <c r="S27" i="8"/>
  <c r="T27" i="8"/>
  <c r="V27" i="8"/>
  <c r="AB27" i="8"/>
  <c r="S274" i="8"/>
  <c r="T274" i="8"/>
  <c r="V274" i="8"/>
  <c r="X274" i="8"/>
  <c r="AB274" i="8"/>
  <c r="S275" i="8"/>
  <c r="T275" i="8"/>
  <c r="U275" i="8"/>
  <c r="V275" i="8"/>
  <c r="X275" i="8"/>
  <c r="AB275" i="8"/>
  <c r="T276" i="8"/>
  <c r="U276" i="8"/>
  <c r="V276" i="8"/>
  <c r="AB276" i="8"/>
  <c r="S277" i="8"/>
  <c r="T277" i="8"/>
  <c r="V277" i="8"/>
  <c r="T278" i="8"/>
  <c r="U278" i="8"/>
  <c r="V278" i="8"/>
  <c r="X278" i="8"/>
  <c r="AB278" i="8"/>
  <c r="T279" i="8"/>
  <c r="U279" i="8"/>
  <c r="V279" i="8"/>
  <c r="W279" i="8"/>
  <c r="AB279" i="8"/>
  <c r="T280" i="8"/>
  <c r="V280" i="8"/>
  <c r="T281" i="8"/>
  <c r="V281" i="8"/>
  <c r="Z281" i="8"/>
  <c r="AB281" i="8"/>
  <c r="S282" i="8"/>
  <c r="T282" i="8"/>
  <c r="U282" i="8"/>
  <c r="V282" i="8"/>
  <c r="AB282" i="8"/>
  <c r="S283" i="8"/>
  <c r="T283" i="8"/>
  <c r="U283" i="8"/>
  <c r="V283" i="8"/>
  <c r="X283" i="8"/>
  <c r="Y283" i="8"/>
  <c r="Z283" i="8"/>
  <c r="S284" i="8"/>
  <c r="T284" i="8"/>
  <c r="U284" i="8"/>
  <c r="V284" i="8"/>
  <c r="X284" i="8"/>
  <c r="Z284" i="8"/>
  <c r="T285" i="8"/>
  <c r="V285" i="8"/>
  <c r="Z285" i="8"/>
  <c r="AB285" i="8"/>
  <c r="S286" i="8"/>
  <c r="T286" i="8"/>
  <c r="U286" i="8"/>
  <c r="V286" i="8"/>
  <c r="X286" i="8"/>
  <c r="Z286" i="8"/>
  <c r="S28" i="8"/>
  <c r="T28" i="8"/>
  <c r="V28" i="8"/>
  <c r="AB28" i="8"/>
  <c r="S287" i="8"/>
  <c r="T287" i="8"/>
  <c r="U287" i="8"/>
  <c r="V287" i="8"/>
  <c r="AB287" i="8"/>
  <c r="R288" i="8"/>
  <c r="S288" i="8"/>
  <c r="T288" i="8"/>
  <c r="U288" i="8"/>
  <c r="V288" i="8"/>
  <c r="S289" i="8"/>
  <c r="T289" i="8"/>
  <c r="U289" i="8"/>
  <c r="V289" i="8"/>
  <c r="R290" i="8"/>
  <c r="S290" i="8"/>
  <c r="T290" i="8"/>
  <c r="U290" i="8"/>
  <c r="V290" i="8"/>
  <c r="S291" i="8"/>
  <c r="T291" i="8"/>
  <c r="V291" i="8"/>
  <c r="X291" i="8"/>
  <c r="S292" i="8"/>
  <c r="T292" i="8"/>
  <c r="U292" i="8"/>
  <c r="V292" i="8"/>
  <c r="X292" i="8"/>
  <c r="S293" i="8"/>
  <c r="T293" i="8"/>
  <c r="U293" i="8"/>
  <c r="V293" i="8"/>
  <c r="AB293" i="8"/>
  <c r="V294" i="8"/>
  <c r="S295" i="8"/>
  <c r="T295" i="8"/>
  <c r="U295" i="8"/>
  <c r="V295" i="8"/>
  <c r="S296" i="8"/>
  <c r="T296" i="8"/>
  <c r="U296" i="8"/>
  <c r="V296" i="8"/>
  <c r="S297" i="8"/>
  <c r="T297" i="8"/>
  <c r="U297" i="8"/>
  <c r="V297" i="8"/>
  <c r="S298" i="8"/>
  <c r="T298" i="8"/>
  <c r="U298" i="8"/>
  <c r="V298" i="8"/>
  <c r="S299" i="8"/>
  <c r="T299" i="8"/>
  <c r="U299" i="8"/>
  <c r="V299" i="8"/>
  <c r="AB299" i="8"/>
  <c r="S300" i="8"/>
  <c r="T300" i="8"/>
  <c r="U300" i="8"/>
  <c r="V300" i="8"/>
  <c r="AB300" i="8"/>
  <c r="S301" i="8"/>
  <c r="T301" i="8"/>
  <c r="U301" i="8"/>
  <c r="V301" i="8"/>
  <c r="X301" i="8"/>
  <c r="AB301" i="8"/>
  <c r="S302" i="8"/>
  <c r="T302" i="8"/>
  <c r="U302" i="8"/>
  <c r="V302" i="8"/>
  <c r="AB302" i="8"/>
  <c r="AC302" i="8"/>
  <c r="S29" i="8"/>
  <c r="T29" i="8"/>
  <c r="U29" i="8"/>
  <c r="V29" i="8"/>
  <c r="AB29" i="8"/>
  <c r="AC29" i="8"/>
  <c r="S303" i="8"/>
  <c r="T303" i="8"/>
  <c r="U303" i="8"/>
  <c r="V303" i="8"/>
  <c r="AB303" i="8"/>
  <c r="S304" i="8"/>
  <c r="T304" i="8"/>
  <c r="V304" i="8"/>
  <c r="AB304" i="8"/>
  <c r="S305" i="8"/>
  <c r="T305" i="8"/>
  <c r="V305" i="8"/>
  <c r="AB305" i="8"/>
  <c r="S306" i="8"/>
  <c r="T306" i="8"/>
  <c r="V306" i="8"/>
  <c r="AB306" i="8"/>
  <c r="S307" i="8"/>
  <c r="T307" i="8"/>
  <c r="V307" i="8"/>
  <c r="AB307" i="8"/>
  <c r="S308" i="8"/>
  <c r="T308" i="8"/>
  <c r="V308" i="8"/>
  <c r="AB308" i="8"/>
  <c r="S309" i="8"/>
  <c r="T309" i="8"/>
  <c r="V309" i="8"/>
  <c r="AB309" i="8"/>
  <c r="S310" i="8"/>
  <c r="T310" i="8"/>
  <c r="V310" i="8"/>
  <c r="AA310" i="8"/>
  <c r="AB310" i="8"/>
  <c r="S311" i="8"/>
  <c r="T311" i="8"/>
  <c r="V311" i="8"/>
  <c r="AB311" i="8"/>
  <c r="S312" i="8"/>
  <c r="T312" i="8"/>
  <c r="V312" i="8"/>
  <c r="AB312" i="8"/>
  <c r="S313" i="8"/>
  <c r="T313" i="8"/>
  <c r="V313" i="8"/>
  <c r="AB313" i="8"/>
  <c r="S314" i="8"/>
  <c r="T314" i="8"/>
  <c r="V314" i="8"/>
  <c r="AB314" i="8"/>
  <c r="S315" i="8"/>
  <c r="T315" i="8"/>
  <c r="V315" i="8"/>
  <c r="AB315" i="8"/>
  <c r="S316" i="8"/>
  <c r="T316" i="8"/>
  <c r="V316" i="8"/>
  <c r="AB316" i="8"/>
  <c r="S317" i="8"/>
  <c r="T317" i="8"/>
  <c r="V317" i="8"/>
  <c r="AA317" i="8"/>
  <c r="AB317" i="8"/>
  <c r="S318" i="8"/>
  <c r="T318" i="8"/>
  <c r="V318" i="8"/>
  <c r="AB318" i="8"/>
  <c r="S319" i="8"/>
  <c r="T319" i="8"/>
  <c r="V319" i="8"/>
  <c r="AB319" i="8"/>
  <c r="S320" i="8"/>
  <c r="T320" i="8"/>
  <c r="V320" i="8"/>
  <c r="AB320" i="8"/>
  <c r="R321" i="8"/>
  <c r="S321" i="8"/>
  <c r="T321" i="8"/>
  <c r="V321" i="8"/>
  <c r="Z321" i="8"/>
  <c r="AB321" i="8"/>
  <c r="R322" i="8"/>
  <c r="S322" i="8"/>
  <c r="T322" i="8"/>
  <c r="V322" i="8"/>
  <c r="Z322" i="8"/>
  <c r="AB322" i="8"/>
  <c r="R323" i="8"/>
  <c r="S323" i="8"/>
  <c r="T323" i="8"/>
  <c r="V323" i="8"/>
  <c r="Z323" i="8"/>
  <c r="AA323" i="8"/>
  <c r="AB323" i="8"/>
  <c r="R324" i="8"/>
  <c r="S324" i="8"/>
  <c r="T324" i="8"/>
  <c r="V324" i="8"/>
  <c r="Z324" i="8"/>
  <c r="AB324" i="8"/>
  <c r="R325" i="8"/>
  <c r="S325" i="8"/>
  <c r="T325" i="8"/>
  <c r="V325" i="8"/>
  <c r="Z325" i="8"/>
  <c r="AB325" i="8"/>
  <c r="S326" i="8"/>
  <c r="T326" i="8"/>
  <c r="V326" i="8"/>
  <c r="Z326" i="8"/>
  <c r="AB326" i="8"/>
  <c r="R30" i="8"/>
  <c r="S30" i="8"/>
  <c r="T30" i="8"/>
  <c r="V30" i="8"/>
  <c r="Z30" i="8"/>
  <c r="AB30" i="8"/>
  <c r="R327" i="8"/>
  <c r="S327" i="8"/>
  <c r="T327" i="8"/>
  <c r="V327" i="8"/>
  <c r="Z327" i="8"/>
  <c r="AB327" i="8"/>
  <c r="R328" i="8"/>
  <c r="S328" i="8"/>
  <c r="T328" i="8"/>
  <c r="V328" i="8"/>
  <c r="Z328" i="8"/>
  <c r="AB328" i="8"/>
  <c r="R329" i="8"/>
  <c r="S329" i="8"/>
  <c r="T329" i="8"/>
  <c r="V329" i="8"/>
  <c r="Z329" i="8"/>
  <c r="AA329" i="8"/>
  <c r="AB329" i="8"/>
  <c r="R330" i="8"/>
  <c r="S330" i="8"/>
  <c r="T330" i="8"/>
  <c r="V330" i="8"/>
  <c r="Z330" i="8"/>
  <c r="AB330" i="8"/>
  <c r="R331" i="8"/>
  <c r="S331" i="8"/>
  <c r="T331" i="8"/>
  <c r="V331" i="8"/>
  <c r="Z331" i="8"/>
  <c r="AB331" i="8"/>
  <c r="R31" i="8"/>
  <c r="S31" i="8"/>
  <c r="T31" i="8"/>
  <c r="V31" i="8"/>
  <c r="Z31" i="8"/>
  <c r="AA31" i="8"/>
  <c r="AB31" i="8"/>
  <c r="AC31" i="8"/>
  <c r="R332" i="8"/>
  <c r="S332" i="8"/>
  <c r="T332" i="8"/>
  <c r="V332" i="8"/>
  <c r="Z332" i="8"/>
  <c r="AA332" i="8"/>
  <c r="AB332" i="8"/>
  <c r="R333" i="8"/>
  <c r="S333" i="8"/>
  <c r="T333" i="8"/>
  <c r="V333" i="8"/>
  <c r="Z333" i="8"/>
  <c r="AB333" i="8"/>
  <c r="R334" i="8"/>
  <c r="S334" i="8"/>
  <c r="T334" i="8"/>
  <c r="V334" i="8"/>
  <c r="Z334" i="8"/>
  <c r="AB334" i="8"/>
  <c r="R335" i="8"/>
  <c r="S335" i="8"/>
  <c r="T335" i="8"/>
  <c r="V335" i="8"/>
  <c r="Z335" i="8"/>
  <c r="AA335" i="8"/>
  <c r="AB335" i="8"/>
  <c r="R336" i="8"/>
  <c r="S336" i="8"/>
  <c r="T336" i="8"/>
  <c r="V336" i="8"/>
  <c r="Z336" i="8"/>
  <c r="AB336" i="8"/>
  <c r="R337" i="8"/>
  <c r="S337" i="8"/>
  <c r="T337" i="8"/>
  <c r="V337" i="8"/>
  <c r="Z337" i="8"/>
  <c r="AB337" i="8"/>
  <c r="R338" i="8"/>
  <c r="S338" i="8"/>
  <c r="T338" i="8"/>
  <c r="V338" i="8"/>
  <c r="Z338" i="8"/>
  <c r="AB338" i="8"/>
  <c r="R339" i="8"/>
  <c r="S339" i="8"/>
  <c r="T339" i="8"/>
  <c r="V339" i="8"/>
  <c r="Z339" i="8"/>
  <c r="AB339" i="8"/>
  <c r="S340" i="8"/>
  <c r="T340" i="8"/>
  <c r="V340" i="8"/>
  <c r="Z340" i="8"/>
  <c r="AB340" i="8"/>
  <c r="R341" i="8"/>
  <c r="S341" i="8"/>
  <c r="T341" i="8"/>
  <c r="V341" i="8"/>
  <c r="Z341" i="8"/>
  <c r="AB341" i="8"/>
  <c r="S342" i="8"/>
  <c r="T342" i="8"/>
  <c r="V342" i="8"/>
  <c r="Z342" i="8"/>
  <c r="AA342" i="8"/>
  <c r="AB342" i="8"/>
  <c r="R343" i="8"/>
  <c r="S343" i="8"/>
  <c r="T343" i="8"/>
  <c r="Z343" i="8"/>
  <c r="R344" i="8"/>
  <c r="S344" i="8"/>
  <c r="T344" i="8"/>
  <c r="V344" i="8"/>
  <c r="Z344" i="8"/>
  <c r="AB344" i="8"/>
  <c r="R345" i="8"/>
  <c r="S345" i="8"/>
  <c r="T345" i="8"/>
  <c r="V345" i="8"/>
  <c r="Z345" i="8"/>
  <c r="AB345" i="8"/>
  <c r="AA346" i="8"/>
  <c r="V347" i="8"/>
  <c r="R348" i="8"/>
  <c r="S348" i="8"/>
  <c r="T348" i="8"/>
  <c r="V348" i="8"/>
  <c r="Z348" i="8"/>
  <c r="AA348" i="8"/>
  <c r="R349" i="8"/>
  <c r="S349" i="8"/>
  <c r="T349" i="8"/>
  <c r="V349" i="8"/>
  <c r="Z349" i="8"/>
  <c r="AB349" i="8"/>
  <c r="S350" i="8"/>
  <c r="T350" i="8"/>
  <c r="V350" i="8"/>
  <c r="Z350" i="8"/>
  <c r="S32" i="8"/>
  <c r="S351" i="8"/>
  <c r="T351" i="8"/>
  <c r="S352" i="8"/>
  <c r="T352" i="8"/>
  <c r="S353" i="8"/>
  <c r="T353" i="8"/>
  <c r="S354" i="8"/>
  <c r="T354" i="8"/>
  <c r="S355" i="8"/>
  <c r="T355" i="8"/>
  <c r="Z355" i="8"/>
  <c r="S356" i="8"/>
  <c r="T356" i="8"/>
  <c r="Z356" i="8"/>
  <c r="S357" i="8"/>
  <c r="T357" i="8"/>
  <c r="S358" i="8"/>
  <c r="T358" i="8"/>
  <c r="S359" i="8"/>
  <c r="T359" i="8"/>
  <c r="Z359" i="8"/>
  <c r="S360" i="8"/>
  <c r="T360" i="8"/>
  <c r="S33" i="8"/>
  <c r="T33" i="8"/>
  <c r="S361" i="8"/>
  <c r="T361" i="8"/>
  <c r="S362" i="8"/>
  <c r="T362" i="8"/>
  <c r="S363" i="8"/>
  <c r="T363" i="8"/>
  <c r="S364" i="8"/>
  <c r="T364" i="8"/>
  <c r="S365" i="8"/>
  <c r="T365" i="8"/>
  <c r="S366" i="8"/>
  <c r="T366" i="8"/>
  <c r="S367" i="8"/>
  <c r="T367" i="8"/>
  <c r="S34" i="8"/>
  <c r="T34" i="8"/>
  <c r="AC34" i="8"/>
  <c r="S368" i="8"/>
  <c r="T368" i="8"/>
  <c r="S369" i="8"/>
  <c r="T369" i="8"/>
  <c r="S370" i="8"/>
  <c r="T370" i="8"/>
  <c r="S35" i="8"/>
  <c r="T35" i="8"/>
  <c r="S371" i="8"/>
  <c r="T371" i="8"/>
  <c r="S372" i="8"/>
  <c r="T372" i="8"/>
  <c r="S373" i="8"/>
  <c r="T373" i="8"/>
  <c r="S374" i="8"/>
  <c r="T374" i="8"/>
  <c r="S375" i="8"/>
  <c r="T375" i="8"/>
  <c r="S376" i="8"/>
  <c r="T376" i="8"/>
  <c r="S377" i="8"/>
  <c r="T377" i="8"/>
  <c r="S378" i="8"/>
  <c r="T378" i="8"/>
  <c r="S379" i="8"/>
  <c r="T379" i="8"/>
  <c r="R380" i="8"/>
  <c r="T380" i="8"/>
  <c r="U380" i="8"/>
  <c r="X380" i="8"/>
  <c r="Y380" i="8"/>
  <c r="AA380" i="8"/>
  <c r="AC380" i="8"/>
  <c r="S381" i="8"/>
  <c r="T381" i="8"/>
  <c r="R382" i="8"/>
  <c r="W382" i="8"/>
  <c r="X382" i="8"/>
  <c r="Z382" i="8"/>
  <c r="S383" i="8"/>
  <c r="T383" i="8"/>
  <c r="U383" i="8"/>
  <c r="V383" i="8"/>
  <c r="W383" i="8"/>
  <c r="X383" i="8"/>
  <c r="Z383" i="8"/>
  <c r="AA383" i="8"/>
  <c r="AC383" i="8"/>
  <c r="R384" i="8"/>
  <c r="S384" i="8"/>
  <c r="U384" i="8"/>
  <c r="V384" i="8"/>
  <c r="W384" i="8"/>
  <c r="Y384" i="8"/>
  <c r="Z384" i="8"/>
  <c r="AB384" i="8"/>
  <c r="AC384" i="8"/>
  <c r="R385" i="8"/>
  <c r="T385" i="8"/>
  <c r="U385" i="8"/>
  <c r="V385" i="8"/>
  <c r="W385" i="8"/>
  <c r="X385" i="8"/>
  <c r="Y385" i="8"/>
  <c r="Z385" i="8"/>
  <c r="AB385" i="8"/>
  <c r="AC385" i="8"/>
  <c r="R36" i="8"/>
  <c r="S36" i="8"/>
  <c r="T36" i="8"/>
  <c r="U36" i="8"/>
  <c r="W36" i="8"/>
  <c r="X36" i="8"/>
  <c r="AB36" i="8"/>
  <c r="R386" i="8"/>
  <c r="S386" i="8"/>
  <c r="T386" i="8"/>
  <c r="W386" i="8"/>
  <c r="X386" i="8"/>
  <c r="R387" i="8"/>
  <c r="S387" i="8"/>
  <c r="T387" i="8"/>
  <c r="V387" i="8"/>
  <c r="W387" i="8"/>
  <c r="Z387" i="8"/>
  <c r="AB387" i="8"/>
  <c r="S388" i="8"/>
  <c r="T388" i="8"/>
  <c r="U388" i="8"/>
  <c r="W388" i="8"/>
  <c r="Z388" i="8"/>
  <c r="AB388" i="8"/>
  <c r="R389" i="8"/>
  <c r="S389" i="8"/>
  <c r="U389" i="8"/>
  <c r="V389" i="8"/>
  <c r="W389" i="8"/>
  <c r="Z389" i="8"/>
  <c r="AB389" i="8"/>
  <c r="S390" i="8"/>
  <c r="T390" i="8"/>
  <c r="V390" i="8"/>
  <c r="W390" i="8"/>
  <c r="Z390" i="8"/>
  <c r="R391" i="8"/>
  <c r="S391" i="8"/>
  <c r="T391" i="8"/>
  <c r="V391" i="8"/>
  <c r="W391" i="8"/>
  <c r="Z391" i="8"/>
  <c r="AB391" i="8"/>
  <c r="R392" i="8"/>
  <c r="S392" i="8"/>
  <c r="T392" i="8"/>
  <c r="U392" i="8"/>
  <c r="W392" i="8"/>
  <c r="X392" i="8"/>
  <c r="Z392" i="8"/>
  <c r="AA392" i="8"/>
  <c r="AB392" i="8"/>
  <c r="R393" i="8"/>
  <c r="S393" i="8"/>
  <c r="T393" i="8"/>
  <c r="V393" i="8"/>
  <c r="W393" i="8"/>
  <c r="X393" i="8"/>
  <c r="Z393" i="8"/>
  <c r="AB393" i="8"/>
  <c r="S37" i="8"/>
  <c r="T37" i="8"/>
  <c r="U37" i="8"/>
  <c r="W37" i="8"/>
  <c r="X37" i="8"/>
  <c r="AA37" i="8"/>
  <c r="R394" i="8"/>
  <c r="S394" i="8"/>
  <c r="T394" i="8"/>
  <c r="V394" i="8"/>
  <c r="W394" i="8"/>
  <c r="AB394" i="8"/>
  <c r="R395" i="8"/>
  <c r="S395" i="8"/>
  <c r="T395" i="8"/>
  <c r="W395" i="8"/>
  <c r="X395" i="8"/>
  <c r="Z395" i="8"/>
  <c r="AB395" i="8"/>
  <c r="R396" i="8"/>
  <c r="S396" i="8"/>
  <c r="T396" i="8"/>
  <c r="V396" i="8"/>
  <c r="W396" i="8"/>
  <c r="X396" i="8"/>
  <c r="Z396" i="8"/>
  <c r="S397" i="8"/>
  <c r="T397" i="8"/>
  <c r="V397" i="8"/>
  <c r="W397" i="8"/>
  <c r="X397" i="8"/>
  <c r="AB397" i="8"/>
  <c r="S398" i="8"/>
  <c r="T398" i="8"/>
  <c r="V398" i="8"/>
  <c r="W398" i="8"/>
  <c r="AA398" i="8"/>
  <c r="AB398" i="8"/>
  <c r="S38" i="8"/>
  <c r="T38" i="8"/>
  <c r="U38" i="8"/>
  <c r="W38" i="8"/>
  <c r="X38" i="8"/>
  <c r="AB38" i="8"/>
  <c r="S399" i="8"/>
  <c r="T399" i="8"/>
  <c r="V399" i="8"/>
  <c r="W399" i="8"/>
  <c r="X399" i="8"/>
  <c r="Z399" i="8"/>
  <c r="S400" i="8"/>
  <c r="T400" i="8"/>
  <c r="U400" i="8"/>
  <c r="V400" i="8"/>
  <c r="W400" i="8"/>
  <c r="X400" i="8"/>
  <c r="AB400" i="8"/>
  <c r="S401" i="8"/>
  <c r="T401" i="8"/>
  <c r="V401" i="8"/>
  <c r="W401" i="8"/>
  <c r="X401" i="8"/>
  <c r="Z401" i="8"/>
  <c r="AB401" i="8"/>
  <c r="R402" i="8"/>
  <c r="S402" i="8"/>
  <c r="T402" i="8"/>
  <c r="U402" i="8"/>
  <c r="V402" i="8"/>
  <c r="W402" i="8"/>
  <c r="Z402" i="8"/>
  <c r="AB402" i="8"/>
  <c r="R403" i="8"/>
  <c r="S403" i="8"/>
  <c r="T403" i="8"/>
  <c r="V403" i="8"/>
  <c r="W403" i="8"/>
  <c r="X403" i="8"/>
  <c r="Z403" i="8"/>
  <c r="AB403" i="8"/>
  <c r="R404" i="8"/>
  <c r="S404" i="8"/>
  <c r="T404" i="8"/>
  <c r="U404" i="8"/>
  <c r="V404" i="8"/>
  <c r="W404" i="8"/>
  <c r="X404" i="8"/>
  <c r="AB404" i="8"/>
  <c r="S405" i="8"/>
  <c r="T405" i="8"/>
  <c r="U405" i="8"/>
  <c r="V405" i="8"/>
  <c r="W405" i="8"/>
  <c r="Z405" i="8"/>
  <c r="R406" i="8"/>
  <c r="S406" i="8"/>
  <c r="T406" i="8"/>
  <c r="U406" i="8"/>
  <c r="V406" i="8"/>
  <c r="W406" i="8"/>
  <c r="Z406" i="8"/>
  <c r="AB406" i="8"/>
  <c r="AB39" i="8"/>
  <c r="X39" i="8"/>
  <c r="V39" i="8"/>
  <c r="U39" i="8"/>
  <c r="S39" i="8"/>
  <c r="E39" i="8"/>
  <c r="BA219" i="5"/>
  <c r="BA329" i="5"/>
  <c r="BA117" i="5"/>
  <c r="BA339" i="5"/>
  <c r="BA345" i="5"/>
  <c r="BA337" i="5"/>
  <c r="BA335" i="5"/>
  <c r="BA387" i="5"/>
  <c r="BA326" i="5"/>
  <c r="BA333" i="5"/>
  <c r="BA327" i="5"/>
  <c r="BA388" i="5"/>
  <c r="BA347" i="5"/>
  <c r="BA391" i="5"/>
  <c r="BA390" i="5"/>
  <c r="BA328" i="5"/>
  <c r="BA296" i="5"/>
  <c r="BA295" i="5"/>
  <c r="BA332" i="5"/>
  <c r="BA325" i="5"/>
  <c r="BA324" i="5"/>
  <c r="BA330" i="5"/>
  <c r="BA341" i="5"/>
  <c r="BA334" i="5"/>
  <c r="BA360" i="5"/>
  <c r="BA370" i="5"/>
  <c r="BA338" i="5"/>
  <c r="BA340" i="5"/>
  <c r="BA336" i="5"/>
  <c r="BA359" i="5"/>
  <c r="BA351" i="5"/>
  <c r="BA319" i="5"/>
  <c r="BA320" i="5"/>
  <c r="BA321" i="5"/>
  <c r="BA348" i="5"/>
  <c r="BA349" i="5"/>
  <c r="BA344" i="5"/>
  <c r="BA343" i="5"/>
  <c r="BA323" i="5"/>
  <c r="BA342" i="5"/>
  <c r="BA322" i="5"/>
  <c r="BA346" i="5"/>
  <c r="BA350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4" i="4"/>
  <c r="AI317" i="4"/>
  <c r="AI318" i="4"/>
  <c r="AI311" i="4"/>
  <c r="AI312" i="4"/>
  <c r="AI313" i="4"/>
  <c r="AI314" i="4"/>
  <c r="AI315" i="4"/>
  <c r="AI307" i="4"/>
  <c r="AI316" i="4"/>
  <c r="AI305" i="4"/>
  <c r="AI306" i="4"/>
  <c r="AI349" i="4"/>
  <c r="AI333" i="4"/>
  <c r="AI331" i="4"/>
  <c r="AI332" i="4"/>
  <c r="AI350" i="4"/>
  <c r="AI348" i="4"/>
  <c r="AI344" i="4"/>
  <c r="AI336" i="4"/>
  <c r="AI340" i="4"/>
  <c r="AI341" i="4"/>
  <c r="AI347" i="4"/>
  <c r="AI351" i="4"/>
  <c r="AI346" i="4"/>
  <c r="AI321" i="4"/>
  <c r="AI323" i="4"/>
  <c r="AI324" i="4"/>
  <c r="AI325" i="4"/>
  <c r="AI319" i="4"/>
  <c r="AI343" i="4"/>
  <c r="AI338" i="4"/>
  <c r="AI342" i="4"/>
  <c r="AI326" i="4"/>
  <c r="AI327" i="4"/>
  <c r="AI328" i="4"/>
  <c r="AI329" i="4"/>
  <c r="AI330" i="4"/>
  <c r="AI345" i="4"/>
  <c r="AI322" i="4"/>
  <c r="AI334" i="4"/>
  <c r="AI335" i="4"/>
  <c r="AI337" i="4"/>
  <c r="AI339" i="4"/>
  <c r="AI320" i="4"/>
  <c r="AI357" i="4"/>
  <c r="AI358" i="4"/>
  <c r="AI372" i="4"/>
  <c r="AI373" i="4"/>
  <c r="AI355" i="4"/>
  <c r="AI359" i="4"/>
  <c r="AI360" i="4"/>
  <c r="AI365" i="4"/>
  <c r="AI356" i="4"/>
  <c r="AI366" i="4"/>
  <c r="AI367" i="4"/>
  <c r="AI368" i="4"/>
  <c r="AI361" i="4"/>
  <c r="AI363" i="4"/>
  <c r="AI362" i="4"/>
  <c r="AI369" i="4"/>
  <c r="AI370" i="4"/>
  <c r="AI371" i="4"/>
  <c r="AI352" i="4"/>
  <c r="AI364" i="4"/>
  <c r="AI353" i="4"/>
  <c r="AI354" i="4"/>
  <c r="AI374" i="4"/>
  <c r="AI375" i="4"/>
  <c r="AI376" i="4"/>
  <c r="AI377" i="4"/>
  <c r="AI378" i="4"/>
  <c r="AI379" i="4"/>
  <c r="AI380" i="4"/>
  <c r="AI381" i="4"/>
  <c r="AI383" i="4"/>
  <c r="AI382" i="4"/>
  <c r="AI385" i="4"/>
  <c r="AI390" i="4"/>
  <c r="AI389" i="4"/>
  <c r="AI388" i="4"/>
  <c r="AI387" i="4"/>
  <c r="AI391" i="4"/>
  <c r="AI407" i="4"/>
  <c r="AI404" i="4"/>
  <c r="AI393" i="4"/>
  <c r="AI403" i="4"/>
  <c r="AI394" i="4"/>
  <c r="AI395" i="4"/>
  <c r="AI396" i="4"/>
  <c r="AI397" i="4"/>
  <c r="AI416" i="4"/>
  <c r="AI408" i="4"/>
  <c r="AI412" i="4"/>
  <c r="AI409" i="4"/>
  <c r="AI410" i="4"/>
  <c r="AI398" i="4"/>
  <c r="AI400" i="4"/>
  <c r="AI401" i="4"/>
  <c r="AI415" i="4"/>
  <c r="AI405" i="4"/>
  <c r="AI411" i="4"/>
  <c r="AI402" i="4"/>
  <c r="AI392" i="4"/>
  <c r="AI413" i="4"/>
  <c r="AI414" i="4"/>
  <c r="AI406" i="4"/>
  <c r="AI399" i="4"/>
  <c r="BF79" i="5"/>
  <c r="E14" i="3"/>
  <c r="E40" i="3"/>
  <c r="E41" i="3"/>
  <c r="E42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W166" i="5"/>
  <c r="AR173" i="5"/>
  <c r="AS173" i="5"/>
  <c r="AU184" i="5"/>
  <c r="AU186" i="5"/>
  <c r="AU187" i="5"/>
  <c r="AR139" i="5"/>
  <c r="AU139" i="5"/>
  <c r="AR171" i="5"/>
  <c r="AU171" i="5"/>
  <c r="AW171" i="5"/>
  <c r="AU77" i="5"/>
  <c r="AU79" i="5"/>
  <c r="AR117" i="5"/>
  <c r="AU117" i="5"/>
  <c r="AR241" i="5"/>
  <c r="AW264" i="5"/>
  <c r="AP227" i="5"/>
  <c r="AW227" i="5"/>
  <c r="AU183" i="5"/>
  <c r="AR52" i="5"/>
  <c r="AU52" i="5"/>
  <c r="AR119" i="5"/>
  <c r="AW119" i="5"/>
  <c r="AU174" i="5"/>
  <c r="AU181" i="5"/>
  <c r="AW219" i="5"/>
  <c r="AR53" i="5"/>
  <c r="AU53" i="5"/>
  <c r="AU78" i="5"/>
  <c r="AU89" i="5"/>
  <c r="AR12" i="5"/>
  <c r="AS12" i="5"/>
  <c r="AW273" i="5"/>
  <c r="AU125" i="5"/>
  <c r="AU128" i="5"/>
  <c r="AU140" i="5"/>
  <c r="AU182" i="5"/>
  <c r="AW29" i="5"/>
  <c r="AW30" i="5"/>
  <c r="AR32" i="5"/>
  <c r="AR50" i="5"/>
  <c r="AU50" i="5"/>
  <c r="AU253" i="5"/>
  <c r="AR270" i="5"/>
  <c r="AU270" i="5"/>
  <c r="AU180" i="5"/>
  <c r="AR61" i="5"/>
  <c r="AS61" i="5"/>
  <c r="AR238" i="5"/>
  <c r="AU238" i="5"/>
  <c r="AR35" i="5"/>
  <c r="AR51" i="5"/>
  <c r="AR81" i="5"/>
  <c r="AR267" i="5"/>
  <c r="AR83" i="5"/>
  <c r="AR84" i="5"/>
  <c r="AR259" i="5"/>
  <c r="AU259" i="5"/>
  <c r="AR260" i="5"/>
  <c r="AU260" i="5"/>
  <c r="AR86" i="5"/>
  <c r="AU86" i="5"/>
  <c r="AR261" i="5"/>
  <c r="AU92" i="5"/>
  <c r="AR10" i="5"/>
  <c r="AR11" i="5"/>
  <c r="AU11" i="5"/>
  <c r="AR93" i="5"/>
  <c r="AU93" i="5"/>
  <c r="AR94" i="5"/>
  <c r="AR262" i="5"/>
  <c r="AU262" i="5"/>
  <c r="AU106" i="5"/>
  <c r="AW131" i="5"/>
  <c r="AU162" i="5"/>
  <c r="AW162" i="5"/>
  <c r="AR168" i="5"/>
  <c r="AU168" i="5"/>
  <c r="AU178" i="5"/>
  <c r="AP192" i="5"/>
  <c r="AW192" i="5"/>
  <c r="AR284" i="5"/>
  <c r="AR285" i="5"/>
  <c r="AP199" i="5"/>
  <c r="AQ199" i="5"/>
  <c r="AR201" i="5"/>
  <c r="AR203" i="5"/>
  <c r="AR204" i="5"/>
  <c r="AU204" i="5"/>
  <c r="AR206" i="5"/>
  <c r="AR234" i="5"/>
  <c r="AU234" i="5"/>
  <c r="AR235" i="5"/>
  <c r="AU235" i="5"/>
  <c r="AR237" i="5"/>
  <c r="AU237" i="5"/>
  <c r="AW243" i="5"/>
  <c r="AU245" i="5"/>
  <c r="AW245" i="5"/>
  <c r="AR252" i="5"/>
  <c r="AU252" i="5"/>
  <c r="AW252" i="5"/>
  <c r="AR82" i="5"/>
  <c r="AR85" i="5"/>
  <c r="AR95" i="5"/>
  <c r="AU95" i="5"/>
  <c r="AU101" i="5"/>
  <c r="AU143" i="5"/>
  <c r="AS216" i="5"/>
  <c r="AR33" i="5"/>
  <c r="AR233" i="5"/>
  <c r="AU233" i="5"/>
  <c r="AR114" i="5"/>
  <c r="AR15" i="5"/>
  <c r="AR132" i="5"/>
  <c r="AU132" i="5"/>
  <c r="AU133" i="5"/>
  <c r="AU148" i="5"/>
  <c r="AR152" i="5"/>
  <c r="AR167" i="5"/>
  <c r="AU167" i="5"/>
  <c r="AP169" i="5"/>
  <c r="AR169" i="5"/>
  <c r="AR189" i="5"/>
  <c r="AW191" i="5"/>
  <c r="AR21" i="5"/>
  <c r="AR27" i="5"/>
  <c r="AR239" i="5"/>
  <c r="AR99" i="5"/>
  <c r="AP142" i="5"/>
  <c r="AU142" i="5"/>
  <c r="AW142" i="5"/>
  <c r="AR172" i="5"/>
  <c r="AU172" i="5"/>
  <c r="AW172" i="5"/>
  <c r="AR195" i="5"/>
  <c r="AR236" i="5"/>
  <c r="AU236" i="5"/>
  <c r="AR16" i="5"/>
  <c r="AU76" i="5"/>
  <c r="AR127" i="5"/>
  <c r="AW127" i="5"/>
  <c r="AR137" i="5"/>
  <c r="AU137" i="5"/>
  <c r="AU157" i="5"/>
  <c r="AU193" i="5"/>
  <c r="AR176" i="5"/>
  <c r="AS176" i="5"/>
  <c r="AW244" i="5"/>
  <c r="AR91" i="5"/>
  <c r="AS91" i="5"/>
  <c r="AR129" i="5"/>
  <c r="AU129" i="5"/>
  <c r="AR149" i="5"/>
  <c r="AU149" i="5"/>
  <c r="AR188" i="5"/>
  <c r="AS188" i="5"/>
  <c r="AR2" i="5"/>
  <c r="AU2" i="5"/>
  <c r="AW124" i="5"/>
  <c r="AR175" i="5"/>
  <c r="AS175" i="5"/>
  <c r="AR31" i="5"/>
  <c r="AU246" i="5"/>
  <c r="AW246" i="5"/>
  <c r="AU247" i="5"/>
  <c r="AW247" i="5"/>
  <c r="AU248" i="5"/>
  <c r="AW248" i="5"/>
  <c r="AU116" i="5"/>
  <c r="AW116" i="5"/>
  <c r="AW154" i="5"/>
  <c r="AU242" i="5"/>
  <c r="AW242" i="5"/>
  <c r="AR200" i="5"/>
  <c r="AR275" i="5"/>
  <c r="AS275" i="5"/>
  <c r="AW275" i="5"/>
  <c r="AR118" i="5"/>
  <c r="AU118" i="5"/>
  <c r="AR34" i="5"/>
  <c r="AU134" i="5"/>
  <c r="AW134" i="5"/>
  <c r="AU136" i="5"/>
  <c r="AW136" i="5"/>
  <c r="AU147" i="5"/>
  <c r="AW147" i="5"/>
  <c r="AW277" i="5"/>
  <c r="AU46" i="5"/>
  <c r="AW144" i="5"/>
  <c r="AU5" i="5"/>
  <c r="AW278" i="5"/>
  <c r="AR194" i="5"/>
  <c r="AW224" i="5"/>
  <c r="AR251" i="5"/>
  <c r="AR98" i="5"/>
  <c r="AU98" i="5"/>
  <c r="AW98" i="5"/>
  <c r="AW120" i="5"/>
  <c r="AW276" i="5"/>
  <c r="AU151" i="5"/>
  <c r="AW150" i="5"/>
  <c r="AR105" i="5"/>
  <c r="AR96" i="5"/>
  <c r="AU96" i="5"/>
  <c r="AW96" i="5"/>
  <c r="AR294" i="5"/>
  <c r="AU294" i="5"/>
  <c r="AU48" i="5"/>
  <c r="AW48" i="5"/>
  <c r="AR36" i="5"/>
  <c r="AW121" i="5"/>
  <c r="AW43" i="5"/>
  <c r="AR37" i="5"/>
  <c r="AW49" i="5"/>
  <c r="AU62" i="5"/>
  <c r="AW62" i="5"/>
  <c r="AU71" i="5"/>
  <c r="AW71" i="5"/>
  <c r="AU63" i="5"/>
  <c r="AW63" i="5"/>
  <c r="AW122" i="5"/>
  <c r="AS226" i="5"/>
  <c r="AU64" i="5"/>
  <c r="AW64" i="5"/>
  <c r="AW4" i="5"/>
  <c r="AP223" i="5"/>
  <c r="AR223" i="5"/>
  <c r="AW223" i="5"/>
  <c r="AU153" i="5"/>
  <c r="AU68" i="5"/>
  <c r="AU40" i="5"/>
  <c r="AW40" i="5"/>
  <c r="AW44" i="5"/>
  <c r="AW255" i="5"/>
  <c r="AW39" i="5"/>
  <c r="AU41" i="5"/>
  <c r="AU42" i="5"/>
  <c r="AW42" i="5"/>
  <c r="AR271" i="5"/>
  <c r="AR257" i="5"/>
  <c r="AU257" i="5"/>
  <c r="AW257" i="5"/>
  <c r="AW263" i="5"/>
  <c r="AU38" i="5"/>
  <c r="AW38" i="5"/>
  <c r="AW256" i="5"/>
  <c r="AU67" i="5"/>
  <c r="AW67" i="5"/>
  <c r="AU65" i="5"/>
  <c r="AW65" i="5"/>
  <c r="AU66" i="5"/>
  <c r="AW66" i="5"/>
  <c r="AW97" i="5"/>
  <c r="AU115" i="5"/>
  <c r="AW115" i="5"/>
  <c r="AW161" i="5"/>
  <c r="AU60" i="5"/>
  <c r="AU57" i="5"/>
  <c r="AP310" i="5"/>
  <c r="AX308" i="5"/>
  <c r="AX313" i="5"/>
  <c r="AX316" i="5"/>
  <c r="AX317" i="5"/>
  <c r="AX318" i="5"/>
  <c r="AX314" i="5"/>
  <c r="AX315" i="5"/>
  <c r="AP350" i="5"/>
  <c r="AW350" i="5"/>
  <c r="AW335" i="5"/>
  <c r="AX335" i="5"/>
  <c r="AW348" i="5"/>
  <c r="AW349" i="5"/>
  <c r="AW351" i="5"/>
  <c r="AX351" i="5"/>
  <c r="AW338" i="5"/>
  <c r="AX338" i="5"/>
  <c r="AW346" i="5"/>
  <c r="AW331" i="5"/>
  <c r="AX331" i="5"/>
  <c r="AY331" i="5"/>
  <c r="AW333" i="5"/>
  <c r="AX333" i="5"/>
  <c r="AW336" i="5"/>
  <c r="AX336" i="5"/>
  <c r="AW339" i="5"/>
  <c r="AX339" i="5"/>
  <c r="AW341" i="5"/>
  <c r="AX341" i="5"/>
  <c r="AW340" i="5"/>
  <c r="AX340" i="5"/>
  <c r="AW324" i="5"/>
  <c r="AX324" i="5"/>
  <c r="AW326" i="5"/>
  <c r="AX326" i="5"/>
  <c r="AP327" i="5"/>
  <c r="AW327" i="5"/>
  <c r="AX327" i="5"/>
  <c r="AW328" i="5"/>
  <c r="AX328" i="5"/>
  <c r="AW329" i="5"/>
  <c r="AX329" i="5"/>
  <c r="AW330" i="5"/>
  <c r="AX330" i="5"/>
  <c r="AW332" i="5"/>
  <c r="AX332" i="5"/>
  <c r="AW334" i="5"/>
  <c r="AX334" i="5"/>
  <c r="AW342" i="5"/>
  <c r="AX342" i="5"/>
  <c r="AW343" i="5"/>
  <c r="AX343" i="5"/>
  <c r="AW344" i="5"/>
  <c r="AX344" i="5"/>
  <c r="AW345" i="5"/>
  <c r="AX345" i="5"/>
  <c r="AW337" i="5"/>
  <c r="AX337" i="5"/>
  <c r="AY337" i="5"/>
  <c r="AW347" i="5"/>
  <c r="AX347" i="5"/>
  <c r="AW325" i="5"/>
  <c r="AX325" i="5"/>
  <c r="AY325" i="5"/>
  <c r="AW322" i="5"/>
  <c r="AX322" i="5"/>
  <c r="AW323" i="5"/>
  <c r="AX323" i="5"/>
  <c r="AW321" i="5"/>
  <c r="AX321" i="5"/>
  <c r="AW319" i="5"/>
  <c r="AX319" i="5"/>
  <c r="AW320" i="5"/>
  <c r="AX320" i="5"/>
  <c r="AW356" i="5"/>
  <c r="AW357" i="5"/>
  <c r="AQ388" i="5"/>
  <c r="AS388" i="5"/>
  <c r="AT388" i="5"/>
  <c r="AV388" i="5"/>
  <c r="AX388" i="5"/>
  <c r="AP389" i="5"/>
  <c r="AQ389" i="5"/>
  <c r="AR389" i="5"/>
  <c r="AT389" i="5"/>
  <c r="AU389" i="5"/>
  <c r="AW389" i="5"/>
  <c r="AX389" i="5"/>
  <c r="AZ389" i="5"/>
  <c r="AT390" i="5"/>
  <c r="AU390" i="5"/>
  <c r="AV390" i="5"/>
  <c r="AW390" i="5"/>
  <c r="AX390" i="5"/>
  <c r="AZ390" i="5"/>
  <c r="AP387" i="5"/>
  <c r="AQ387" i="5"/>
  <c r="AR387" i="5"/>
  <c r="AS387" i="5"/>
  <c r="AU387" i="5"/>
  <c r="AZ387" i="5"/>
  <c r="AR391" i="5"/>
  <c r="AT391" i="5"/>
  <c r="AU391" i="5"/>
  <c r="AV391" i="5"/>
  <c r="AW391" i="5"/>
  <c r="AX391" i="5"/>
  <c r="AZ391" i="5"/>
  <c r="AU395" i="5"/>
  <c r="AX395" i="5"/>
  <c r="AY395" i="5"/>
  <c r="AS394" i="5"/>
  <c r="AY394" i="5"/>
  <c r="AR392" i="5"/>
  <c r="AU392" i="5"/>
  <c r="AY392" i="5"/>
  <c r="AR393" i="5"/>
  <c r="AU393" i="5"/>
  <c r="AX393" i="5"/>
  <c r="AR396" i="5"/>
  <c r="AU396" i="5"/>
  <c r="AU397" i="5"/>
  <c r="AX397" i="5"/>
  <c r="AS398" i="5"/>
  <c r="AY398" i="5"/>
  <c r="AX399" i="5"/>
  <c r="AY400" i="5"/>
  <c r="AR401" i="5"/>
  <c r="AU401" i="5"/>
  <c r="AR402" i="5"/>
  <c r="AU402" i="5"/>
  <c r="AY402" i="5"/>
  <c r="AU403" i="5"/>
  <c r="AX403" i="5"/>
  <c r="AY403" i="5"/>
  <c r="AS404" i="5"/>
  <c r="AU404" i="5"/>
  <c r="AX404" i="5"/>
  <c r="AU405" i="5"/>
  <c r="AY405" i="5"/>
  <c r="AR407" i="5"/>
  <c r="AU407" i="5"/>
  <c r="AR408" i="5"/>
  <c r="AS408" i="5"/>
  <c r="AU408" i="5"/>
  <c r="AX408" i="5"/>
  <c r="AY408" i="5"/>
  <c r="AY409" i="5"/>
  <c r="AR410" i="5"/>
  <c r="AR411" i="5"/>
  <c r="AS411" i="5"/>
  <c r="AY411" i="5"/>
  <c r="AR412" i="5"/>
  <c r="AS412" i="5"/>
  <c r="AU412" i="5"/>
  <c r="AY413" i="5"/>
  <c r="AS414" i="5"/>
  <c r="AU414" i="5"/>
  <c r="AS415" i="5"/>
  <c r="AU415" i="5"/>
  <c r="AY415" i="5"/>
  <c r="AS416" i="5"/>
  <c r="AU416" i="5"/>
  <c r="AX416" i="5"/>
  <c r="AX406" i="5"/>
  <c r="AY406" i="5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6" i="2"/>
  <c r="AD47" i="2"/>
  <c r="AD51" i="2"/>
  <c r="AD50" i="2"/>
  <c r="AD52" i="2"/>
  <c r="AE29" i="2"/>
  <c r="AC16" i="4"/>
  <c r="AC27" i="4"/>
  <c r="AC32" i="4"/>
  <c r="AC33" i="4"/>
  <c r="AC13" i="4"/>
  <c r="AC34" i="4"/>
  <c r="AC17" i="4"/>
  <c r="AC19" i="4"/>
  <c r="AC20" i="4"/>
  <c r="AC63" i="4"/>
  <c r="AC30" i="4"/>
  <c r="AC2" i="4"/>
  <c r="AC65" i="4"/>
  <c r="AC272" i="4"/>
  <c r="AC273" i="4"/>
  <c r="AC289" i="4"/>
  <c r="AC205" i="4"/>
  <c r="AC169" i="4"/>
  <c r="AC102" i="4"/>
  <c r="AC176" i="4"/>
  <c r="AC90" i="4"/>
  <c r="AC136" i="4"/>
  <c r="AC178" i="4"/>
  <c r="AC137" i="4"/>
  <c r="AC138" i="4"/>
  <c r="AC179" i="4"/>
  <c r="AC91" i="4"/>
  <c r="AC181" i="4"/>
  <c r="AC182" i="4"/>
  <c r="AC120" i="4"/>
  <c r="AC111" i="4"/>
  <c r="AC236" i="4"/>
  <c r="AC61" i="4"/>
  <c r="AC3" i="4"/>
  <c r="AC31" i="4"/>
  <c r="AC87" i="4"/>
  <c r="AC25" i="4"/>
  <c r="AC175" i="4"/>
  <c r="AC177" i="4"/>
  <c r="AC209" i="4"/>
  <c r="AC40" i="4"/>
  <c r="AC21" i="4"/>
  <c r="AC261" i="4"/>
  <c r="AC295" i="4"/>
  <c r="AC238" i="4"/>
  <c r="AC269" i="4"/>
  <c r="AC240" i="4"/>
  <c r="AC223" i="4"/>
  <c r="AC184" i="4"/>
  <c r="AC278" i="4"/>
  <c r="AC57" i="4"/>
  <c r="AC42" i="4"/>
  <c r="AC43" i="4"/>
  <c r="AC44" i="4"/>
  <c r="AC189" i="4"/>
  <c r="AC253" i="4"/>
  <c r="AC224" i="4"/>
  <c r="AC127" i="4"/>
  <c r="AC70" i="4"/>
  <c r="AC14" i="4"/>
  <c r="AC146" i="4"/>
  <c r="AC192" i="4"/>
  <c r="AC149" i="4"/>
  <c r="AC150" i="4"/>
  <c r="AC227" i="4"/>
  <c r="AC151" i="4"/>
  <c r="AC152" i="4"/>
  <c r="AC153" i="4"/>
  <c r="AC194" i="4"/>
  <c r="AC216" i="4"/>
  <c r="AC45" i="4"/>
  <c r="AC46" i="4"/>
  <c r="AC47" i="4"/>
  <c r="AC48" i="4"/>
  <c r="AC49" i="4"/>
  <c r="AC197" i="4"/>
  <c r="AC198" i="4"/>
  <c r="AC118" i="4"/>
  <c r="AC162" i="4"/>
  <c r="AC100" i="4"/>
  <c r="AC163" i="4"/>
  <c r="AC101" i="4"/>
  <c r="AC50" i="4"/>
  <c r="AC51" i="4"/>
  <c r="AC52" i="4"/>
  <c r="AC58" i="4"/>
  <c r="AC36" i="4"/>
  <c r="AC260" i="4"/>
  <c r="AC89" i="4"/>
  <c r="AC219" i="4"/>
  <c r="AC103" i="4"/>
  <c r="AC104" i="4"/>
  <c r="AC105" i="4"/>
  <c r="AC106" i="4"/>
  <c r="AC107" i="4"/>
  <c r="AC108" i="4"/>
  <c r="AC37" i="4"/>
  <c r="AC38" i="4"/>
  <c r="AC39" i="4"/>
  <c r="AC109" i="4"/>
  <c r="AC60" i="4"/>
  <c r="AC55" i="4"/>
  <c r="AC170" i="4"/>
  <c r="AC171" i="4"/>
  <c r="AC172" i="4"/>
  <c r="AC206" i="4"/>
  <c r="AC207" i="4"/>
  <c r="AC220" i="4"/>
  <c r="AC267" i="4"/>
  <c r="AC135" i="4"/>
  <c r="AC208" i="4"/>
  <c r="AC248" i="4"/>
  <c r="AC302" i="4"/>
  <c r="AC173" i="4"/>
  <c r="AC174" i="4"/>
  <c r="AC221" i="4"/>
  <c r="AC180" i="4"/>
  <c r="AC110" i="4"/>
  <c r="AC293" i="4"/>
  <c r="AC10" i="4"/>
  <c r="AC268" i="4"/>
  <c r="AC291" i="4"/>
  <c r="AC283" i="4"/>
  <c r="AC250" i="4"/>
  <c r="AC237" i="4"/>
  <c r="AC284" i="4"/>
  <c r="AC285" i="4"/>
  <c r="AC286" i="4"/>
  <c r="AC139" i="4"/>
  <c r="AC92" i="4"/>
  <c r="AC93" i="4"/>
  <c r="AC121" i="4"/>
  <c r="AC239" i="4"/>
  <c r="AC76" i="4"/>
  <c r="AC56" i="4"/>
  <c r="AC29" i="4"/>
  <c r="AC140" i="4"/>
  <c r="AC77" i="4"/>
  <c r="AC78" i="4"/>
  <c r="AC141" i="4"/>
  <c r="AC142" i="4"/>
  <c r="AC143" i="4"/>
  <c r="AC241" i="4"/>
  <c r="AC97" i="4"/>
  <c r="AC79" i="4"/>
  <c r="AC64" i="4"/>
  <c r="AC80" i="4"/>
  <c r="AC262" i="4"/>
  <c r="AC113" i="4"/>
  <c r="AC185" i="4"/>
  <c r="AC114" i="4"/>
  <c r="AC290" i="4"/>
  <c r="AC122" i="4"/>
  <c r="AC292" i="4"/>
  <c r="AC123" i="4"/>
  <c r="AC242" i="4"/>
  <c r="AC124" i="4"/>
  <c r="AC81" i="4"/>
  <c r="AC125" i="4"/>
  <c r="AC187" i="4"/>
  <c r="AC251" i="4"/>
  <c r="AC300" i="4"/>
  <c r="AC144" i="4"/>
  <c r="AC252" i="4"/>
  <c r="AC82" i="4"/>
  <c r="AC83" i="4"/>
  <c r="AC84" i="4"/>
  <c r="AC115" i="4"/>
  <c r="AC126" i="4"/>
  <c r="AC116" i="4"/>
  <c r="AC98" i="4"/>
  <c r="AC4" i="4"/>
  <c r="AC145" i="4"/>
  <c r="AC128" i="4"/>
  <c r="AC15" i="4"/>
  <c r="AC24" i="4"/>
  <c r="AC18" i="4"/>
  <c r="AC301" i="4"/>
  <c r="AC71" i="4"/>
  <c r="AC72" i="4"/>
  <c r="AC73" i="4"/>
  <c r="AC190" i="4"/>
  <c r="AC191" i="4"/>
  <c r="AC129" i="4"/>
  <c r="AC243" i="4"/>
  <c r="AC279" i="4"/>
  <c r="AC287" i="4"/>
  <c r="AC130" i="4"/>
  <c r="AC274" i="4"/>
  <c r="AC263" i="4"/>
  <c r="AC280" i="4"/>
  <c r="AC270" i="4"/>
  <c r="AC281" i="4"/>
  <c r="AC131" i="4"/>
  <c r="AC147" i="4"/>
  <c r="AC148" i="4"/>
  <c r="AC210" i="4"/>
  <c r="AC211" i="4"/>
  <c r="AC212" i="4"/>
  <c r="AC213" i="4"/>
  <c r="AC214" i="4"/>
  <c r="AC215" i="4"/>
  <c r="AC265" i="4"/>
  <c r="AC266" i="4"/>
  <c r="AC74" i="4"/>
  <c r="AC155" i="4"/>
  <c r="AC132" i="4"/>
  <c r="AC193" i="4"/>
  <c r="AC156" i="4"/>
  <c r="AC157" i="4"/>
  <c r="AC158" i="4"/>
  <c r="AC256" i="4"/>
  <c r="AC288" i="4"/>
  <c r="AC159" i="4"/>
  <c r="AC160" i="4"/>
  <c r="AC161" i="4"/>
  <c r="AC228" i="4"/>
  <c r="AC229" i="4"/>
  <c r="AC244" i="4"/>
  <c r="AC230" i="4"/>
  <c r="AC282" i="4"/>
  <c r="AC133" i="4"/>
  <c r="AC245" i="4"/>
  <c r="AC246" i="4"/>
  <c r="AC247" i="4"/>
  <c r="AC259" i="4"/>
  <c r="AC117" i="4"/>
  <c r="AC218" i="4"/>
  <c r="AC199" i="4"/>
  <c r="AC200" i="4"/>
  <c r="AC165" i="4"/>
  <c r="AC166" i="4"/>
  <c r="AC167" i="4"/>
  <c r="AC168" i="4"/>
  <c r="AC201" i="4"/>
  <c r="AC202" i="4"/>
  <c r="AC203" i="4"/>
  <c r="AC204" i="4"/>
  <c r="AC53" i="4"/>
  <c r="AC88" i="4"/>
  <c r="AC59" i="4"/>
  <c r="AC54" i="4"/>
  <c r="AC26" i="4"/>
  <c r="AC12" i="4"/>
  <c r="AC22" i="4"/>
  <c r="AC23" i="4"/>
  <c r="AC298" i="4"/>
  <c r="AC41" i="4"/>
  <c r="AC299" i="4"/>
  <c r="AC35" i="4"/>
  <c r="AC254" i="4"/>
  <c r="AC255" i="4"/>
  <c r="AC154" i="4"/>
  <c r="AC196" i="4"/>
  <c r="AC297" i="4"/>
  <c r="AC95" i="4"/>
  <c r="AC294" i="4"/>
  <c r="AC186" i="4"/>
  <c r="AC225" i="4"/>
  <c r="AC226" i="4"/>
  <c r="AC264" i="4"/>
  <c r="AC257" i="4"/>
  <c r="AC258" i="4"/>
  <c r="AC94" i="4"/>
  <c r="AC112" i="4"/>
  <c r="AC66" i="4"/>
  <c r="AC96" i="4"/>
  <c r="AC11" i="4"/>
  <c r="AC188" i="4"/>
  <c r="AC85" i="4"/>
  <c r="AC271" i="4"/>
  <c r="AC217" i="4"/>
  <c r="AC119" i="4"/>
  <c r="AC249" i="4"/>
  <c r="AC7" i="4"/>
  <c r="AC195" i="4"/>
  <c r="AC5" i="4"/>
  <c r="AC6" i="4"/>
  <c r="AC8" i="4"/>
  <c r="AC9" i="4"/>
  <c r="AC231" i="4"/>
  <c r="AC62" i="4"/>
  <c r="AC67" i="4"/>
  <c r="AC68" i="4"/>
  <c r="AC99" i="4"/>
  <c r="AC69" i="4"/>
  <c r="AC233" i="4"/>
  <c r="AC234" i="4"/>
  <c r="AC75" i="4"/>
  <c r="AC222" i="4"/>
  <c r="AC296" i="4"/>
  <c r="AC183" i="4"/>
  <c r="AC318" i="4"/>
  <c r="AC317" i="4"/>
  <c r="AC303" i="4"/>
  <c r="AC304" i="4"/>
  <c r="AC309" i="4"/>
  <c r="AC314" i="4"/>
  <c r="AC315" i="4"/>
  <c r="AC307" i="4"/>
  <c r="AC316" i="4"/>
  <c r="AC310" i="4"/>
  <c r="AC311" i="4"/>
  <c r="AC312" i="4"/>
  <c r="AC313" i="4"/>
  <c r="AC306" i="4"/>
  <c r="AC305" i="4"/>
  <c r="AC334" i="4"/>
  <c r="AC335" i="4"/>
  <c r="AC321" i="4"/>
  <c r="AC322" i="4"/>
  <c r="AC323" i="4"/>
  <c r="AC324" i="4"/>
  <c r="AC325" i="4"/>
  <c r="AC319" i="4"/>
  <c r="AC326" i="4"/>
  <c r="AC327" i="4"/>
  <c r="AC328" i="4"/>
  <c r="AC329" i="4"/>
  <c r="AC336" i="4"/>
  <c r="AC331" i="4"/>
  <c r="AC332" i="4"/>
  <c r="AC333" i="4"/>
  <c r="AC339" i="4"/>
  <c r="AC320" i="4"/>
  <c r="AC337" i="4"/>
  <c r="AC349" i="4"/>
  <c r="AC347" i="4"/>
  <c r="AC345" i="4"/>
  <c r="AC344" i="4"/>
  <c r="AC330" i="4"/>
  <c r="AC346" i="4"/>
  <c r="AC348" i="4"/>
  <c r="AC350" i="4"/>
  <c r="AC338" i="4"/>
  <c r="AC343" i="4"/>
  <c r="AC340" i="4"/>
  <c r="AC341" i="4"/>
  <c r="AC342" i="4"/>
  <c r="AC351" i="4"/>
  <c r="AC358" i="4"/>
  <c r="AC372" i="4"/>
  <c r="AC373" i="4"/>
  <c r="AC352" i="4"/>
  <c r="AC364" i="4"/>
  <c r="AC353" i="4"/>
  <c r="AC357" i="4"/>
  <c r="AC355" i="4"/>
  <c r="AC359" i="4"/>
  <c r="AC360" i="4"/>
  <c r="AC365" i="4"/>
  <c r="AC356" i="4"/>
  <c r="AC366" i="4"/>
  <c r="AC367" i="4"/>
  <c r="AC368" i="4"/>
  <c r="AC354" i="4"/>
  <c r="AC361" i="4"/>
  <c r="AC363" i="4"/>
  <c r="AC362" i="4"/>
  <c r="AC371" i="4"/>
  <c r="AC369" i="4"/>
  <c r="AC370" i="4"/>
  <c r="AC379" i="4"/>
  <c r="AC375" i="4"/>
  <c r="AC383" i="4"/>
  <c r="AC374" i="4"/>
  <c r="AC376" i="4"/>
  <c r="AC378" i="4"/>
  <c r="AC381" i="4"/>
  <c r="AC385" i="4"/>
  <c r="AC377" i="4"/>
  <c r="AC380" i="4"/>
  <c r="AC382" i="4"/>
  <c r="AC387" i="4"/>
  <c r="AC388" i="4"/>
  <c r="AC389" i="4"/>
  <c r="AC390" i="4"/>
  <c r="AC391" i="4"/>
  <c r="AC407" i="4"/>
  <c r="AC405" i="4"/>
  <c r="AC392" i="4"/>
  <c r="AC394" i="4"/>
  <c r="AC395" i="4"/>
  <c r="AC396" i="4"/>
  <c r="AC397" i="4"/>
  <c r="AC398" i="4"/>
  <c r="AC399" i="4"/>
  <c r="AC400" i="4"/>
  <c r="AC401" i="4"/>
  <c r="AC402" i="4"/>
  <c r="AC393" i="4"/>
  <c r="AC403" i="4"/>
  <c r="AC404" i="4"/>
  <c r="AC408" i="4"/>
  <c r="AC412" i="4"/>
  <c r="AC409" i="4"/>
  <c r="AC410" i="4"/>
  <c r="AC415" i="4"/>
  <c r="AC411" i="4"/>
  <c r="AC413" i="4"/>
  <c r="AC414" i="4"/>
  <c r="AC406" i="4"/>
  <c r="AC416" i="4"/>
  <c r="AC235" i="4"/>
  <c r="AD23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23" i="2"/>
  <c r="AI46" i="2"/>
  <c r="AI47" i="2"/>
  <c r="AI24" i="2"/>
  <c r="AH24" i="2"/>
  <c r="AK24" i="2"/>
  <c r="AK22" i="2"/>
  <c r="AK28" i="2"/>
  <c r="AK15" i="2"/>
  <c r="AK33" i="2"/>
  <c r="AK32" i="2"/>
  <c r="AK35" i="2"/>
  <c r="AK11" i="2"/>
  <c r="AK13" i="2"/>
  <c r="AK10" i="2"/>
  <c r="AK27" i="2"/>
  <c r="AK16" i="2"/>
  <c r="AK38" i="2"/>
  <c r="AK7" i="2"/>
  <c r="AK40" i="2"/>
  <c r="AK39" i="2"/>
  <c r="AK41" i="2"/>
  <c r="AK26" i="2"/>
  <c r="AK43" i="2"/>
  <c r="AK18" i="2"/>
  <c r="AK5" i="2"/>
  <c r="AK8" i="2"/>
  <c r="AG24" i="2"/>
  <c r="AG22" i="2"/>
  <c r="AG23" i="2"/>
  <c r="AG28" i="2"/>
  <c r="AG29" i="2"/>
  <c r="AG33" i="2"/>
  <c r="AG32" i="2"/>
  <c r="AG34" i="2"/>
  <c r="AG35" i="2"/>
  <c r="AG31" i="2"/>
  <c r="AG46" i="2"/>
  <c r="AG47" i="2"/>
  <c r="AG15" i="2"/>
  <c r="AF15" i="2"/>
  <c r="AF24" i="2"/>
  <c r="AF22" i="2"/>
  <c r="AF28" i="2"/>
  <c r="AF29" i="2"/>
  <c r="AF33" i="2"/>
  <c r="AF32" i="2"/>
  <c r="AF35" i="2"/>
  <c r="AE15" i="2"/>
  <c r="AD16" i="4"/>
  <c r="AD27" i="4"/>
  <c r="AD32" i="4"/>
  <c r="AD33" i="4"/>
  <c r="AD13" i="4"/>
  <c r="AD34" i="4"/>
  <c r="AD17" i="4"/>
  <c r="AD19" i="4"/>
  <c r="AD20" i="4"/>
  <c r="AD63" i="4"/>
  <c r="AD30" i="4"/>
  <c r="AD2" i="4"/>
  <c r="AD65" i="4"/>
  <c r="AD272" i="4"/>
  <c r="AD273" i="4"/>
  <c r="AD289" i="4"/>
  <c r="AD205" i="4"/>
  <c r="AD169" i="4"/>
  <c r="AD102" i="4"/>
  <c r="AD176" i="4"/>
  <c r="AD90" i="4"/>
  <c r="AD136" i="4"/>
  <c r="AD178" i="4"/>
  <c r="AD137" i="4"/>
  <c r="AD138" i="4"/>
  <c r="AD179" i="4"/>
  <c r="AD91" i="4"/>
  <c r="AD181" i="4"/>
  <c r="AD182" i="4"/>
  <c r="AD120" i="4"/>
  <c r="AD111" i="4"/>
  <c r="AD236" i="4"/>
  <c r="AD61" i="4"/>
  <c r="AD3" i="4"/>
  <c r="AD31" i="4"/>
  <c r="AD87" i="4"/>
  <c r="AD25" i="4"/>
  <c r="AD175" i="4"/>
  <c r="AD177" i="4"/>
  <c r="AD209" i="4"/>
  <c r="AD40" i="4"/>
  <c r="AD21" i="4"/>
  <c r="AD261" i="4"/>
  <c r="AD295" i="4"/>
  <c r="AD238" i="4"/>
  <c r="AD269" i="4"/>
  <c r="AD240" i="4"/>
  <c r="AD223" i="4"/>
  <c r="AD184" i="4"/>
  <c r="AD278" i="4"/>
  <c r="AD57" i="4"/>
  <c r="AD42" i="4"/>
  <c r="AD43" i="4"/>
  <c r="AD44" i="4"/>
  <c r="AD189" i="4"/>
  <c r="AD253" i="4"/>
  <c r="AD224" i="4"/>
  <c r="AD127" i="4"/>
  <c r="AD70" i="4"/>
  <c r="AD14" i="4"/>
  <c r="AD146" i="4"/>
  <c r="AD192" i="4"/>
  <c r="AD149" i="4"/>
  <c r="AD150" i="4"/>
  <c r="AD227" i="4"/>
  <c r="AD151" i="4"/>
  <c r="AD152" i="4"/>
  <c r="AD153" i="4"/>
  <c r="AD194" i="4"/>
  <c r="AD216" i="4"/>
  <c r="AD45" i="4"/>
  <c r="AD46" i="4"/>
  <c r="AD47" i="4"/>
  <c r="AD48" i="4"/>
  <c r="AD49" i="4"/>
  <c r="AD197" i="4"/>
  <c r="AD198" i="4"/>
  <c r="AD118" i="4"/>
  <c r="AD162" i="4"/>
  <c r="AD100" i="4"/>
  <c r="AD163" i="4"/>
  <c r="AD101" i="4"/>
  <c r="AD50" i="4"/>
  <c r="AD51" i="4"/>
  <c r="AD52" i="4"/>
  <c r="AD58" i="4"/>
  <c r="AD36" i="4"/>
  <c r="AD260" i="4"/>
  <c r="AD89" i="4"/>
  <c r="AD219" i="4"/>
  <c r="AD103" i="4"/>
  <c r="AD104" i="4"/>
  <c r="AD105" i="4"/>
  <c r="AD106" i="4"/>
  <c r="AD107" i="4"/>
  <c r="AD108" i="4"/>
  <c r="AD37" i="4"/>
  <c r="AD38" i="4"/>
  <c r="AD39" i="4"/>
  <c r="AD109" i="4"/>
  <c r="AD60" i="4"/>
  <c r="AD55" i="4"/>
  <c r="AD170" i="4"/>
  <c r="AD171" i="4"/>
  <c r="AD172" i="4"/>
  <c r="AD206" i="4"/>
  <c r="AD207" i="4"/>
  <c r="AD220" i="4"/>
  <c r="AD267" i="4"/>
  <c r="AD135" i="4"/>
  <c r="AD208" i="4"/>
  <c r="AD248" i="4"/>
  <c r="AD302" i="4"/>
  <c r="AD173" i="4"/>
  <c r="AD174" i="4"/>
  <c r="AD221" i="4"/>
  <c r="AD180" i="4"/>
  <c r="AD110" i="4"/>
  <c r="AD293" i="4"/>
  <c r="AD10" i="4"/>
  <c r="AD268" i="4"/>
  <c r="AD291" i="4"/>
  <c r="AD283" i="4"/>
  <c r="AD250" i="4"/>
  <c r="AD237" i="4"/>
  <c r="AD284" i="4"/>
  <c r="AD285" i="4"/>
  <c r="AD286" i="4"/>
  <c r="AD139" i="4"/>
  <c r="AD92" i="4"/>
  <c r="AD93" i="4"/>
  <c r="AD121" i="4"/>
  <c r="AD239" i="4"/>
  <c r="AD76" i="4"/>
  <c r="AD56" i="4"/>
  <c r="AD29" i="4"/>
  <c r="AD140" i="4"/>
  <c r="AD77" i="4"/>
  <c r="AD78" i="4"/>
  <c r="AD141" i="4"/>
  <c r="AD142" i="4"/>
  <c r="AD143" i="4"/>
  <c r="AD241" i="4"/>
  <c r="AD97" i="4"/>
  <c r="AD79" i="4"/>
  <c r="AD64" i="4"/>
  <c r="AD80" i="4"/>
  <c r="AD262" i="4"/>
  <c r="AD113" i="4"/>
  <c r="AD185" i="4"/>
  <c r="AD114" i="4"/>
  <c r="AD290" i="4"/>
  <c r="AD122" i="4"/>
  <c r="AD292" i="4"/>
  <c r="AD123" i="4"/>
  <c r="AD242" i="4"/>
  <c r="AD124" i="4"/>
  <c r="AD81" i="4"/>
  <c r="AD125" i="4"/>
  <c r="AD187" i="4"/>
  <c r="AD251" i="4"/>
  <c r="AD300" i="4"/>
  <c r="AD144" i="4"/>
  <c r="AD252" i="4"/>
  <c r="AD82" i="4"/>
  <c r="AD83" i="4"/>
  <c r="AD84" i="4"/>
  <c r="AD115" i="4"/>
  <c r="AD126" i="4"/>
  <c r="AD116" i="4"/>
  <c r="AD98" i="4"/>
  <c r="AD4" i="4"/>
  <c r="AD145" i="4"/>
  <c r="AD128" i="4"/>
  <c r="AD15" i="4"/>
  <c r="AD24" i="4"/>
  <c r="AD18" i="4"/>
  <c r="AD301" i="4"/>
  <c r="AD71" i="4"/>
  <c r="AD72" i="4"/>
  <c r="AD73" i="4"/>
  <c r="AD190" i="4"/>
  <c r="AD191" i="4"/>
  <c r="AD129" i="4"/>
  <c r="AD243" i="4"/>
  <c r="AD279" i="4"/>
  <c r="AD287" i="4"/>
  <c r="AD130" i="4"/>
  <c r="AD274" i="4"/>
  <c r="AD263" i="4"/>
  <c r="AD280" i="4"/>
  <c r="AD270" i="4"/>
  <c r="AD281" i="4"/>
  <c r="AD131" i="4"/>
  <c r="AD147" i="4"/>
  <c r="AD148" i="4"/>
  <c r="AD210" i="4"/>
  <c r="AD211" i="4"/>
  <c r="AD212" i="4"/>
  <c r="AD213" i="4"/>
  <c r="AD214" i="4"/>
  <c r="AD215" i="4"/>
  <c r="AD265" i="4"/>
  <c r="AD266" i="4"/>
  <c r="AD74" i="4"/>
  <c r="AD155" i="4"/>
  <c r="AD132" i="4"/>
  <c r="AD193" i="4"/>
  <c r="AD156" i="4"/>
  <c r="AD157" i="4"/>
  <c r="AD158" i="4"/>
  <c r="AD256" i="4"/>
  <c r="AD288" i="4"/>
  <c r="AD159" i="4"/>
  <c r="AD160" i="4"/>
  <c r="AD161" i="4"/>
  <c r="AD228" i="4"/>
  <c r="AD229" i="4"/>
  <c r="AD244" i="4"/>
  <c r="AD230" i="4"/>
  <c r="AD282" i="4"/>
  <c r="AD133" i="4"/>
  <c r="AD245" i="4"/>
  <c r="AD246" i="4"/>
  <c r="AD247" i="4"/>
  <c r="AD259" i="4"/>
  <c r="AD117" i="4"/>
  <c r="AD218" i="4"/>
  <c r="AD199" i="4"/>
  <c r="AD200" i="4"/>
  <c r="AD165" i="4"/>
  <c r="AD166" i="4"/>
  <c r="AD167" i="4"/>
  <c r="AD168" i="4"/>
  <c r="AD201" i="4"/>
  <c r="AD202" i="4"/>
  <c r="AD203" i="4"/>
  <c r="AD204" i="4"/>
  <c r="AD53" i="4"/>
  <c r="AD88" i="4"/>
  <c r="AD59" i="4"/>
  <c r="AD54" i="4"/>
  <c r="AD26" i="4"/>
  <c r="AD12" i="4"/>
  <c r="AD22" i="4"/>
  <c r="AD23" i="4"/>
  <c r="AD298" i="4"/>
  <c r="AD41" i="4"/>
  <c r="AD299" i="4"/>
  <c r="AD35" i="4"/>
  <c r="AD254" i="4"/>
  <c r="AD255" i="4"/>
  <c r="AD154" i="4"/>
  <c r="AD196" i="4"/>
  <c r="AD297" i="4"/>
  <c r="AD95" i="4"/>
  <c r="AD294" i="4"/>
  <c r="AD186" i="4"/>
  <c r="AD225" i="4"/>
  <c r="AD226" i="4"/>
  <c r="AD264" i="4"/>
  <c r="AD257" i="4"/>
  <c r="AD258" i="4"/>
  <c r="AD94" i="4"/>
  <c r="AD112" i="4"/>
  <c r="AD66" i="4"/>
  <c r="AD96" i="4"/>
  <c r="AD11" i="4"/>
  <c r="AD188" i="4"/>
  <c r="AD85" i="4"/>
  <c r="AD271" i="4"/>
  <c r="AD217" i="4"/>
  <c r="AD119" i="4"/>
  <c r="AD249" i="4"/>
  <c r="AD7" i="4"/>
  <c r="AD195" i="4"/>
  <c r="AD5" i="4"/>
  <c r="AD6" i="4"/>
  <c r="AD8" i="4"/>
  <c r="AD9" i="4"/>
  <c r="AD231" i="4"/>
  <c r="AD62" i="4"/>
  <c r="AD67" i="4"/>
  <c r="AD68" i="4"/>
  <c r="AD99" i="4"/>
  <c r="AD69" i="4"/>
  <c r="AD233" i="4"/>
  <c r="AD234" i="4"/>
  <c r="AD75" i="4"/>
  <c r="AD222" i="4"/>
  <c r="AD296" i="4"/>
  <c r="AD183" i="4"/>
  <c r="AD318" i="4"/>
  <c r="AD317" i="4"/>
  <c r="AD303" i="4"/>
  <c r="AD304" i="4"/>
  <c r="AD309" i="4"/>
  <c r="AD314" i="4"/>
  <c r="AD315" i="4"/>
  <c r="AD307" i="4"/>
  <c r="AD316" i="4"/>
  <c r="AD310" i="4"/>
  <c r="AD311" i="4"/>
  <c r="AD312" i="4"/>
  <c r="AD313" i="4"/>
  <c r="AD306" i="4"/>
  <c r="AD305" i="4"/>
  <c r="AD334" i="4"/>
  <c r="AD335" i="4"/>
  <c r="AD321" i="4"/>
  <c r="AD322" i="4"/>
  <c r="AD323" i="4"/>
  <c r="AD324" i="4"/>
  <c r="AD325" i="4"/>
  <c r="AD319" i="4"/>
  <c r="AD326" i="4"/>
  <c r="AD327" i="4"/>
  <c r="AD328" i="4"/>
  <c r="AD329" i="4"/>
  <c r="AD336" i="4"/>
  <c r="AD331" i="4"/>
  <c r="AD332" i="4"/>
  <c r="AD333" i="4"/>
  <c r="AD339" i="4"/>
  <c r="AD320" i="4"/>
  <c r="AD337" i="4"/>
  <c r="AD349" i="4"/>
  <c r="AD347" i="4"/>
  <c r="AD345" i="4"/>
  <c r="AD344" i="4"/>
  <c r="AD330" i="4"/>
  <c r="AD346" i="4"/>
  <c r="AD348" i="4"/>
  <c r="AD350" i="4"/>
  <c r="AD338" i="4"/>
  <c r="AD343" i="4"/>
  <c r="AD340" i="4"/>
  <c r="AD341" i="4"/>
  <c r="AD342" i="4"/>
  <c r="AD351" i="4"/>
  <c r="AD358" i="4"/>
  <c r="AD372" i="4"/>
  <c r="AD373" i="4"/>
  <c r="AD352" i="4"/>
  <c r="AD364" i="4"/>
  <c r="AD353" i="4"/>
  <c r="AD357" i="4"/>
  <c r="AD355" i="4"/>
  <c r="AD359" i="4"/>
  <c r="AD360" i="4"/>
  <c r="AD365" i="4"/>
  <c r="AD356" i="4"/>
  <c r="AD366" i="4"/>
  <c r="AD367" i="4"/>
  <c r="AD368" i="4"/>
  <c r="AD354" i="4"/>
  <c r="AD361" i="4"/>
  <c r="AD363" i="4"/>
  <c r="AD362" i="4"/>
  <c r="AD371" i="4"/>
  <c r="AD369" i="4"/>
  <c r="AD370" i="4"/>
  <c r="AD379" i="4"/>
  <c r="AD375" i="4"/>
  <c r="AD383" i="4"/>
  <c r="AD374" i="4"/>
  <c r="AD376" i="4"/>
  <c r="AD378" i="4"/>
  <c r="AD381" i="4"/>
  <c r="AD385" i="4"/>
  <c r="AD377" i="4"/>
  <c r="AD380" i="4"/>
  <c r="AD382" i="4"/>
  <c r="AD387" i="4"/>
  <c r="AD388" i="4"/>
  <c r="AD389" i="4"/>
  <c r="AD390" i="4"/>
  <c r="AD391" i="4"/>
  <c r="AD407" i="4"/>
  <c r="AD405" i="4"/>
  <c r="AD392" i="4"/>
  <c r="AD394" i="4"/>
  <c r="AD395" i="4"/>
  <c r="AD396" i="4"/>
  <c r="AD397" i="4"/>
  <c r="AD398" i="4"/>
  <c r="AD399" i="4"/>
  <c r="AD400" i="4"/>
  <c r="AD401" i="4"/>
  <c r="AD402" i="4"/>
  <c r="AD393" i="4"/>
  <c r="AD403" i="4"/>
  <c r="AD404" i="4"/>
  <c r="AD408" i="4"/>
  <c r="AD412" i="4"/>
  <c r="AD409" i="4"/>
  <c r="AD410" i="4"/>
  <c r="AD415" i="4"/>
  <c r="AD411" i="4"/>
  <c r="AD413" i="4"/>
  <c r="AD414" i="4"/>
  <c r="AD406" i="4"/>
  <c r="AD41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6" i="4"/>
  <c r="AE32" i="4"/>
  <c r="AE33" i="4"/>
  <c r="AE34" i="4"/>
  <c r="AE4" i="4"/>
  <c r="AE250" i="4"/>
  <c r="AE237" i="4"/>
  <c r="AE242" i="4"/>
  <c r="AE300" i="4"/>
  <c r="AE85" i="4"/>
  <c r="AE89" i="4"/>
  <c r="AE205" i="4"/>
  <c r="AE109" i="4"/>
  <c r="AE283" i="4"/>
  <c r="AE183" i="4"/>
  <c r="AE94" i="4"/>
  <c r="AE96" i="4"/>
  <c r="AE80" i="4"/>
  <c r="AE81" i="4"/>
  <c r="AE296" i="4"/>
  <c r="AE35" i="4"/>
  <c r="AE15" i="4"/>
  <c r="AE24" i="4"/>
  <c r="AE16" i="4"/>
  <c r="AE197" i="4"/>
  <c r="AE162" i="4"/>
  <c r="AE58" i="4"/>
  <c r="AE260" i="4"/>
  <c r="AE54" i="4"/>
  <c r="AE103" i="4"/>
  <c r="AE104" i="4"/>
  <c r="AE105" i="4"/>
  <c r="AE106" i="4"/>
  <c r="AE107" i="4"/>
  <c r="AE108" i="4"/>
  <c r="AE170" i="4"/>
  <c r="AE171" i="4"/>
  <c r="AE172" i="4"/>
  <c r="AE10" i="4"/>
  <c r="AE95" i="4"/>
  <c r="AE185" i="4"/>
  <c r="AE187" i="4"/>
  <c r="AE251" i="4"/>
  <c r="AE115" i="4"/>
  <c r="AE42" i="4"/>
  <c r="AE195" i="4"/>
  <c r="AE233" i="4"/>
  <c r="AE234" i="4"/>
  <c r="AE218" i="4"/>
  <c r="AE199" i="4"/>
  <c r="AE200" i="4"/>
  <c r="AE165" i="4"/>
  <c r="AE166" i="4"/>
  <c r="AE167" i="4"/>
  <c r="AE168" i="4"/>
  <c r="AE12" i="4"/>
  <c r="AE36" i="4"/>
  <c r="AE272" i="4"/>
  <c r="AE37" i="4"/>
  <c r="AE38" i="4"/>
  <c r="AE39" i="4"/>
  <c r="AE206" i="4"/>
  <c r="AE40" i="4"/>
  <c r="AE21" i="4"/>
  <c r="AE62" i="4"/>
  <c r="AE56" i="4"/>
  <c r="AE78" i="4"/>
  <c r="AE298" i="4"/>
  <c r="AE112" i="4"/>
  <c r="AE184" i="4"/>
  <c r="AE64" i="4"/>
  <c r="AE262" i="4"/>
  <c r="AE11" i="4"/>
  <c r="AE290" i="4"/>
  <c r="AE186" i="4"/>
  <c r="AE299" i="4"/>
  <c r="AE126" i="4"/>
  <c r="AE116" i="4"/>
  <c r="AE67" i="4"/>
  <c r="AE68" i="4"/>
  <c r="AE99" i="4"/>
  <c r="AE43" i="4"/>
  <c r="AE44" i="4"/>
  <c r="AE69" i="4"/>
  <c r="AE147" i="4"/>
  <c r="AE148" i="4"/>
  <c r="AE210" i="4"/>
  <c r="AE211" i="4"/>
  <c r="AE212" i="4"/>
  <c r="AE213" i="4"/>
  <c r="AE154" i="4"/>
  <c r="AE214" i="4"/>
  <c r="AE215" i="4"/>
  <c r="AE132" i="4"/>
  <c r="AE216" i="4"/>
  <c r="AE201" i="4"/>
  <c r="AE75" i="4"/>
  <c r="AE204" i="4"/>
  <c r="AE50" i="4"/>
  <c r="AE51" i="4"/>
  <c r="AE52" i="4"/>
  <c r="AE273" i="4"/>
  <c r="AE60" i="4"/>
  <c r="AE55" i="4"/>
  <c r="AE76" i="4"/>
  <c r="AE41" i="4"/>
  <c r="AE57" i="4"/>
  <c r="AE145" i="4"/>
  <c r="AE128" i="4"/>
  <c r="AE14" i="4"/>
  <c r="AE217" i="4"/>
  <c r="AE45" i="4"/>
  <c r="AE46" i="4"/>
  <c r="AE47" i="4"/>
  <c r="AE49" i="4"/>
  <c r="AE88" i="4"/>
  <c r="AE289" i="4"/>
  <c r="AE293" i="4"/>
  <c r="AE139" i="4"/>
  <c r="AE92" i="4"/>
  <c r="AE93" i="4"/>
  <c r="AE269" i="4"/>
  <c r="AE222" i="4"/>
  <c r="AE140" i="4"/>
  <c r="AE30" i="4"/>
  <c r="AE2" i="4"/>
  <c r="AE17" i="4"/>
  <c r="AE18" i="4"/>
  <c r="AE19" i="4"/>
  <c r="AE20" i="4"/>
  <c r="AE146" i="4"/>
  <c r="AE192" i="4"/>
  <c r="AE130" i="4"/>
  <c r="AE227" i="4"/>
  <c r="AE151" i="4"/>
  <c r="AE152" i="4"/>
  <c r="AE153" i="4"/>
  <c r="AE256" i="4"/>
  <c r="AE48" i="4"/>
  <c r="AE198" i="4"/>
  <c r="AE118" i="4"/>
  <c r="AE100" i="4"/>
  <c r="AE53" i="4"/>
  <c r="AE59" i="4"/>
  <c r="AE26" i="4"/>
  <c r="AE5" i="4"/>
  <c r="AE221" i="4"/>
  <c r="AE61" i="4"/>
  <c r="AE291" i="4"/>
  <c r="AE238" i="4"/>
  <c r="AE121" i="4"/>
  <c r="AE22" i="4"/>
  <c r="AE23" i="4"/>
  <c r="AE297" i="4"/>
  <c r="AE292" i="4"/>
  <c r="AE124" i="4"/>
  <c r="AE125" i="4"/>
  <c r="AE6" i="4"/>
  <c r="AE7" i="4"/>
  <c r="AE8" i="4"/>
  <c r="AE9" i="4"/>
  <c r="AE301" i="4"/>
  <c r="AE71" i="4"/>
  <c r="AE72" i="4"/>
  <c r="AE73" i="4"/>
  <c r="AE190" i="4"/>
  <c r="AE191" i="4"/>
  <c r="AE129" i="4"/>
  <c r="AE274" i="4"/>
  <c r="AE263" i="4"/>
  <c r="AE280" i="4"/>
  <c r="AE270" i="4"/>
  <c r="AE149" i="4"/>
  <c r="AE150" i="4"/>
  <c r="AE133" i="4"/>
  <c r="AE196" i="4"/>
  <c r="AE101" i="4"/>
  <c r="AE202" i="4"/>
  <c r="AE203" i="4"/>
  <c r="AE229" i="4"/>
  <c r="AE244" i="4"/>
  <c r="AE230" i="4"/>
  <c r="AE302" i="4"/>
  <c r="AE173" i="4"/>
  <c r="AE174" i="4"/>
  <c r="AE110" i="4"/>
  <c r="AE240" i="4"/>
  <c r="AE77" i="4"/>
  <c r="AE241" i="4"/>
  <c r="AE252" i="4"/>
  <c r="AE82" i="4"/>
  <c r="AE243" i="4"/>
  <c r="AE131" i="4"/>
  <c r="AE231" i="4"/>
  <c r="AE282" i="4"/>
  <c r="AE257" i="4"/>
  <c r="AE258" i="4"/>
  <c r="AE228" i="4"/>
  <c r="AE248" i="4"/>
  <c r="AE261" i="4"/>
  <c r="AE13" i="4"/>
  <c r="AE254" i="4"/>
  <c r="AE255" i="4"/>
  <c r="AE279" i="4"/>
  <c r="AE287" i="4"/>
  <c r="AE247" i="4"/>
  <c r="AE284" i="4"/>
  <c r="AE239" i="4"/>
  <c r="AE114" i="4"/>
  <c r="AE278" i="4"/>
  <c r="AE188" i="4"/>
  <c r="AE98" i="4"/>
  <c r="AE265" i="4"/>
  <c r="AE266" i="4"/>
  <c r="AE74" i="4"/>
  <c r="AE267" i="4"/>
  <c r="AE285" i="4"/>
  <c r="AE286" i="4"/>
  <c r="AE97" i="4"/>
  <c r="AE122" i="4"/>
  <c r="AE294" i="4"/>
  <c r="AE225" i="4"/>
  <c r="AE226" i="4"/>
  <c r="AE264" i="4"/>
  <c r="AE155" i="4"/>
  <c r="AE156" i="4"/>
  <c r="AE157" i="4"/>
  <c r="AE246" i="4"/>
  <c r="AE169" i="4"/>
  <c r="AE207" i="4"/>
  <c r="AE220" i="4"/>
  <c r="AE135" i="4"/>
  <c r="AE208" i="4"/>
  <c r="AE180" i="4"/>
  <c r="AE91" i="4"/>
  <c r="AE141" i="4"/>
  <c r="AE223" i="4"/>
  <c r="AE142" i="4"/>
  <c r="AE79" i="4"/>
  <c r="AE123" i="4"/>
  <c r="AE65" i="4"/>
  <c r="AE144" i="4"/>
  <c r="AE189" i="4"/>
  <c r="AE224" i="4"/>
  <c r="AE158" i="4"/>
  <c r="AE194" i="4"/>
  <c r="AE159" i="4"/>
  <c r="AE160" i="4"/>
  <c r="AE161" i="4"/>
  <c r="AE25" i="4"/>
  <c r="AE175" i="4"/>
  <c r="AE90" i="4"/>
  <c r="AE177" i="4"/>
  <c r="AE136" i="4"/>
  <c r="AE178" i="4"/>
  <c r="AE209" i="4"/>
  <c r="AE138" i="4"/>
  <c r="AE219" i="4"/>
  <c r="AE102" i="4"/>
  <c r="AE181" i="4"/>
  <c r="AE182" i="4"/>
  <c r="AE120" i="4"/>
  <c r="AE111" i="4"/>
  <c r="AE236" i="4"/>
  <c r="AE295" i="4"/>
  <c r="AE249" i="4"/>
  <c r="AE268" i="4"/>
  <c r="AE63" i="4"/>
  <c r="AE113" i="4"/>
  <c r="AE83" i="4"/>
  <c r="AE84" i="4"/>
  <c r="AE253" i="4"/>
  <c r="AE259" i="4"/>
  <c r="AE117" i="4"/>
  <c r="AE163" i="4"/>
  <c r="AE119" i="4"/>
  <c r="AE87" i="4"/>
  <c r="AE176" i="4"/>
  <c r="AE137" i="4"/>
  <c r="AE179" i="4"/>
  <c r="AE27" i="4"/>
  <c r="AE143" i="4"/>
  <c r="AE127" i="4"/>
  <c r="AE70" i="4"/>
  <c r="AE193" i="4"/>
  <c r="AE271" i="4"/>
  <c r="AE245" i="4"/>
  <c r="AE31" i="4"/>
  <c r="AE29" i="4"/>
  <c r="AE288" i="4"/>
  <c r="AE281" i="4"/>
  <c r="AE315" i="4"/>
  <c r="AE309" i="4"/>
  <c r="AE314" i="4"/>
  <c r="AE307" i="4"/>
  <c r="AE316" i="4"/>
  <c r="AE303" i="4"/>
  <c r="AE304" i="4"/>
  <c r="AE317" i="4"/>
  <c r="AE318" i="4"/>
  <c r="AE306" i="4"/>
  <c r="AE310" i="4"/>
  <c r="AE311" i="4"/>
  <c r="AE312" i="4"/>
  <c r="AE313" i="4"/>
  <c r="AE305" i="4"/>
  <c r="AE322" i="4"/>
  <c r="AE345" i="4"/>
  <c r="AE321" i="4"/>
  <c r="AE323" i="4"/>
  <c r="AE324" i="4"/>
  <c r="AE325" i="4"/>
  <c r="AE347" i="4"/>
  <c r="AE344" i="4"/>
  <c r="AE350" i="4"/>
  <c r="AE326" i="4"/>
  <c r="AE327" i="4"/>
  <c r="AE328" i="4"/>
  <c r="AE329" i="4"/>
  <c r="AE330" i="4"/>
  <c r="AE331" i="4"/>
  <c r="AE332" i="4"/>
  <c r="AE333" i="4"/>
  <c r="AE346" i="4"/>
  <c r="AE348" i="4"/>
  <c r="AE334" i="4"/>
  <c r="AE335" i="4"/>
  <c r="AE343" i="4"/>
  <c r="AE340" i="4"/>
  <c r="AE338" i="4"/>
  <c r="AE341" i="4"/>
  <c r="AE342" i="4"/>
  <c r="AE336" i="4"/>
  <c r="AE349" i="4"/>
  <c r="AE339" i="4"/>
  <c r="AE320" i="4"/>
  <c r="AE337" i="4"/>
  <c r="AE351" i="4"/>
  <c r="AE319" i="4"/>
  <c r="AE355" i="4"/>
  <c r="AE356" i="4"/>
  <c r="AE358" i="4"/>
  <c r="AE357" i="4"/>
  <c r="AE361" i="4"/>
  <c r="AE363" i="4"/>
  <c r="AE362" i="4"/>
  <c r="AE371" i="4"/>
  <c r="AE354" i="4"/>
  <c r="AE369" i="4"/>
  <c r="AE370" i="4"/>
  <c r="AE359" i="4"/>
  <c r="AE360" i="4"/>
  <c r="AE372" i="4"/>
  <c r="AE373" i="4"/>
  <c r="AE364" i="4"/>
  <c r="AE352" i="4"/>
  <c r="AE353" i="4"/>
  <c r="AE365" i="4"/>
  <c r="AE366" i="4"/>
  <c r="AE367" i="4"/>
  <c r="AE368" i="4"/>
  <c r="AE378" i="4"/>
  <c r="AE379" i="4"/>
  <c r="AE382" i="4"/>
  <c r="AE376" i="4"/>
  <c r="AE377" i="4"/>
  <c r="AE380" i="4"/>
  <c r="AE381" i="4"/>
  <c r="AE375" i="4"/>
  <c r="AE383" i="4"/>
  <c r="AE374" i="4"/>
  <c r="AE385" i="4"/>
  <c r="AE391" i="4"/>
  <c r="AE387" i="4"/>
  <c r="AE390" i="4"/>
  <c r="AE388" i="4"/>
  <c r="AE389" i="4"/>
  <c r="AE399" i="4"/>
  <c r="AE403" i="4"/>
  <c r="AE404" i="4"/>
  <c r="AE407" i="4"/>
  <c r="AE408" i="4"/>
  <c r="AE412" i="4"/>
  <c r="AE409" i="4"/>
  <c r="AE415" i="4"/>
  <c r="AE405" i="4"/>
  <c r="AE393" i="4"/>
  <c r="AE394" i="4"/>
  <c r="AE395" i="4"/>
  <c r="AE396" i="4"/>
  <c r="AE397" i="4"/>
  <c r="AE416" i="4"/>
  <c r="AE410" i="4"/>
  <c r="AE398" i="4"/>
  <c r="AE400" i="4"/>
  <c r="AE401" i="4"/>
  <c r="AE411" i="4"/>
  <c r="AE402" i="4"/>
  <c r="AE392" i="4"/>
  <c r="AE413" i="4"/>
  <c r="AE414" i="4"/>
  <c r="AE406" i="4"/>
  <c r="AE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8" i="4"/>
  <c r="AG389" i="4"/>
  <c r="AG391" i="4"/>
  <c r="AG390" i="4"/>
  <c r="AG387" i="4"/>
  <c r="AG393" i="4"/>
  <c r="AG403" i="4"/>
  <c r="AG404" i="4"/>
  <c r="AG407" i="4"/>
  <c r="AG394" i="4"/>
  <c r="AG395" i="4"/>
  <c r="AG396" i="4"/>
  <c r="AG397" i="4"/>
  <c r="AG416" i="4"/>
  <c r="AG408" i="4"/>
  <c r="AG412" i="4"/>
  <c r="AG409" i="4"/>
  <c r="AG410" i="4"/>
  <c r="AG398" i="4"/>
  <c r="AG399" i="4"/>
  <c r="AG400" i="4"/>
  <c r="AG401" i="4"/>
  <c r="AG415" i="4"/>
  <c r="AG405" i="4"/>
  <c r="AG411" i="4"/>
  <c r="AG402" i="4"/>
  <c r="AG392" i="4"/>
  <c r="AG413" i="4"/>
  <c r="AG414" i="4"/>
  <c r="AG406" i="4"/>
  <c r="AJ303" i="4"/>
  <c r="AJ304" i="4"/>
  <c r="AJ317" i="4"/>
  <c r="AJ318" i="4"/>
  <c r="AJ309" i="4"/>
  <c r="AJ310" i="4"/>
  <c r="AJ311" i="4"/>
  <c r="AJ312" i="4"/>
  <c r="AJ313" i="4"/>
  <c r="AJ314" i="4"/>
  <c r="AJ305" i="4"/>
  <c r="AJ306" i="4"/>
  <c r="AJ315" i="4"/>
  <c r="AJ307" i="4"/>
  <c r="AJ316" i="4"/>
  <c r="AJ339" i="4"/>
  <c r="AJ320" i="4"/>
  <c r="AJ337" i="4"/>
  <c r="AJ334" i="4"/>
  <c r="AJ335" i="4"/>
  <c r="AJ321" i="4"/>
  <c r="AJ322" i="4"/>
  <c r="AJ323" i="4"/>
  <c r="AJ324" i="4"/>
  <c r="AJ325" i="4"/>
  <c r="AJ319" i="4"/>
  <c r="AJ343" i="4"/>
  <c r="AJ340" i="4"/>
  <c r="AJ338" i="4"/>
  <c r="AJ341" i="4"/>
  <c r="AJ342" i="4"/>
  <c r="AJ349" i="4"/>
  <c r="AJ347" i="4"/>
  <c r="AJ345" i="4"/>
  <c r="AJ344" i="4"/>
  <c r="AJ351" i="4"/>
  <c r="AJ326" i="4"/>
  <c r="AJ327" i="4"/>
  <c r="AJ328" i="4"/>
  <c r="AJ329" i="4"/>
  <c r="AJ336" i="4"/>
  <c r="AJ331" i="4"/>
  <c r="AJ332" i="4"/>
  <c r="AJ333" i="4"/>
  <c r="AJ346" i="4"/>
  <c r="AJ348" i="4"/>
  <c r="AJ350" i="4"/>
  <c r="AJ330" i="4"/>
  <c r="AJ358" i="4"/>
  <c r="AJ369" i="4"/>
  <c r="AJ370" i="4"/>
  <c r="AJ371" i="4"/>
  <c r="AJ372" i="4"/>
  <c r="AJ373" i="4"/>
  <c r="AJ352" i="4"/>
  <c r="AJ364" i="4"/>
  <c r="AJ353" i="4"/>
  <c r="AJ357" i="4"/>
  <c r="AJ355" i="4"/>
  <c r="AJ359" i="4"/>
  <c r="AJ360" i="4"/>
  <c r="AJ365" i="4"/>
  <c r="AJ356" i="4"/>
  <c r="AJ366" i="4"/>
  <c r="AJ367" i="4"/>
  <c r="AJ368" i="4"/>
  <c r="AJ354" i="4"/>
  <c r="AJ361" i="4"/>
  <c r="AJ363" i="4"/>
  <c r="AJ362" i="4"/>
  <c r="AJ374" i="4"/>
  <c r="AJ375" i="4"/>
  <c r="AJ376" i="4"/>
  <c r="AJ377" i="4"/>
  <c r="AJ378" i="4"/>
  <c r="AJ379" i="4"/>
  <c r="AJ380" i="4"/>
  <c r="AJ381" i="4"/>
  <c r="AJ382" i="4"/>
  <c r="AJ383" i="4"/>
  <c r="AJ385" i="4"/>
  <c r="AJ388" i="4"/>
  <c r="AJ389" i="4"/>
  <c r="AJ391" i="4"/>
  <c r="AJ390" i="4"/>
  <c r="AJ387" i="4"/>
  <c r="AJ393" i="4"/>
  <c r="AJ403" i="4"/>
  <c r="AJ404" i="4"/>
  <c r="AJ407" i="4"/>
  <c r="AJ394" i="4"/>
  <c r="AJ395" i="4"/>
  <c r="AJ396" i="4"/>
  <c r="AJ397" i="4"/>
  <c r="AJ416" i="4"/>
  <c r="AJ408" i="4"/>
  <c r="AJ412" i="4"/>
  <c r="AJ409" i="4"/>
  <c r="AJ410" i="4"/>
  <c r="AJ398" i="4"/>
  <c r="AJ399" i="4"/>
  <c r="AJ400" i="4"/>
  <c r="AJ401" i="4"/>
  <c r="AJ415" i="4"/>
  <c r="AJ405" i="4"/>
  <c r="AJ411" i="4"/>
  <c r="AJ402" i="4"/>
  <c r="AJ392" i="4"/>
  <c r="AJ413" i="4"/>
  <c r="AJ414" i="4"/>
  <c r="AJ406" i="4"/>
  <c r="AG260" i="4"/>
  <c r="AG38" i="4"/>
  <c r="AG39" i="4"/>
  <c r="AG170" i="4"/>
  <c r="AG171" i="4"/>
  <c r="AG172" i="4"/>
  <c r="AG206" i="4"/>
  <c r="AG261" i="4"/>
  <c r="AG295" i="4"/>
  <c r="AG56" i="4"/>
  <c r="AG124" i="4"/>
  <c r="AG126" i="4"/>
  <c r="AG233" i="4"/>
  <c r="AG234" i="4"/>
  <c r="AG218" i="4"/>
  <c r="AG103" i="4"/>
  <c r="AG104" i="4"/>
  <c r="AG107" i="4"/>
  <c r="AG115" i="4"/>
  <c r="AG78" i="4"/>
  <c r="AG262" i="4"/>
  <c r="AG94" i="4"/>
  <c r="AG95" i="4"/>
  <c r="AG40" i="4"/>
  <c r="AG21" i="4"/>
  <c r="AG30" i="4"/>
  <c r="AG33" i="4"/>
  <c r="AG42" i="4"/>
  <c r="AG43" i="4"/>
  <c r="AG44" i="4"/>
  <c r="AG105" i="4"/>
  <c r="AG106" i="4"/>
  <c r="AG108" i="4"/>
  <c r="AG116" i="4"/>
  <c r="AG57" i="4"/>
  <c r="AG12" i="4"/>
  <c r="AG60" i="4"/>
  <c r="AG55" i="4"/>
  <c r="AG10" i="4"/>
  <c r="AG185" i="4"/>
  <c r="AG186" i="4"/>
  <c r="AG66" i="4"/>
  <c r="AG125" i="4"/>
  <c r="AG296" i="4"/>
  <c r="AG210" i="4"/>
  <c r="AG211" i="4"/>
  <c r="AG213" i="4"/>
  <c r="AG154" i="4"/>
  <c r="AG214" i="4"/>
  <c r="AG215" i="4"/>
  <c r="AG147" i="4"/>
  <c r="AG148" i="4"/>
  <c r="AG212" i="4"/>
  <c r="AG50" i="4"/>
  <c r="AG51" i="4"/>
  <c r="AG52" i="4"/>
  <c r="AG58" i="4"/>
  <c r="AG36" i="4"/>
  <c r="AG54" i="4"/>
  <c r="AG89" i="4"/>
  <c r="AG26" i="4"/>
  <c r="AG37" i="4"/>
  <c r="AG109" i="4"/>
  <c r="AG3" i="4"/>
  <c r="AG96" i="4"/>
  <c r="AG217" i="4"/>
  <c r="AG199" i="4"/>
  <c r="AG200" i="4"/>
  <c r="AG165" i="4"/>
  <c r="AG166" i="4"/>
  <c r="AG167" i="4"/>
  <c r="AG168" i="4"/>
  <c r="AG32" i="4"/>
  <c r="AG34" i="4"/>
  <c r="AG45" i="4"/>
  <c r="AG46" i="4"/>
  <c r="AG47" i="4"/>
  <c r="AG48" i="4"/>
  <c r="AG49" i="4"/>
  <c r="AG5" i="4"/>
  <c r="AG6" i="4"/>
  <c r="AG7" i="4"/>
  <c r="AG9" i="4"/>
  <c r="AG272" i="4"/>
  <c r="AG273" i="4"/>
  <c r="AG289" i="4"/>
  <c r="AG205" i="4"/>
  <c r="AG62" i="4"/>
  <c r="AG68" i="4"/>
  <c r="AG69" i="4"/>
  <c r="AG8" i="4"/>
  <c r="AG271" i="4"/>
  <c r="AG75" i="4"/>
  <c r="AG53" i="4"/>
  <c r="AG88" i="4"/>
  <c r="AG59" i="4"/>
  <c r="AG298" i="4"/>
  <c r="AG11" i="4"/>
  <c r="AG299" i="4"/>
  <c r="AG99" i="4"/>
  <c r="AG92" i="4"/>
  <c r="AG93" i="4"/>
  <c r="AG240" i="4"/>
  <c r="AG63" i="4"/>
  <c r="AG98" i="4"/>
  <c r="AG145" i="4"/>
  <c r="AG146" i="4"/>
  <c r="AG153" i="4"/>
  <c r="AG118" i="4"/>
  <c r="AG100" i="4"/>
  <c r="AG201" i="4"/>
  <c r="AG101" i="4"/>
  <c r="AG204" i="4"/>
  <c r="AG249" i="4"/>
  <c r="AG268" i="4"/>
  <c r="AG238" i="4"/>
  <c r="AG139" i="4"/>
  <c r="AG22" i="4"/>
  <c r="AG278" i="4"/>
  <c r="AG127" i="4"/>
  <c r="AG35" i="4"/>
  <c r="AG17" i="4"/>
  <c r="AG19" i="4"/>
  <c r="AG20" i="4"/>
  <c r="AG71" i="4"/>
  <c r="AG227" i="4"/>
  <c r="AG74" i="4"/>
  <c r="AG302" i="4"/>
  <c r="AG269" i="4"/>
  <c r="AG151" i="4"/>
  <c r="AG152" i="4"/>
  <c r="AG197" i="4"/>
  <c r="AG198" i="4"/>
  <c r="AG202" i="4"/>
  <c r="AG203" i="4"/>
  <c r="AG128" i="4"/>
  <c r="AG192" i="4"/>
  <c r="AG149" i="4"/>
  <c r="AG150" i="4"/>
  <c r="AG282" i="4"/>
  <c r="AG216" i="4"/>
  <c r="AG162" i="4"/>
  <c r="AG250" i="4"/>
  <c r="AG237" i="4"/>
  <c r="AG143" i="4"/>
  <c r="AG2" i="4"/>
  <c r="AG13" i="4"/>
  <c r="AG242" i="4"/>
  <c r="AG65" i="4"/>
  <c r="AG189" i="4"/>
  <c r="AG253" i="4"/>
  <c r="AG224" i="4"/>
  <c r="AG15" i="4"/>
  <c r="AG256" i="4"/>
  <c r="AG228" i="4"/>
  <c r="AG229" i="4"/>
  <c r="AG244" i="4"/>
  <c r="AG230" i="4"/>
  <c r="AG248" i="4"/>
  <c r="AG221" i="4"/>
  <c r="AG291" i="4"/>
  <c r="AG121" i="4"/>
  <c r="AG222" i="4"/>
  <c r="AG297" i="4"/>
  <c r="AG112" i="4"/>
  <c r="AG64" i="4"/>
  <c r="AG80" i="4"/>
  <c r="AG292" i="4"/>
  <c r="AG81" i="4"/>
  <c r="AG187" i="4"/>
  <c r="AG251" i="4"/>
  <c r="AG300" i="4"/>
  <c r="AG252" i="4"/>
  <c r="AG72" i="4"/>
  <c r="AG73" i="4"/>
  <c r="AG190" i="4"/>
  <c r="AG191" i="4"/>
  <c r="AG129" i="4"/>
  <c r="AG243" i="4"/>
  <c r="AG279" i="4"/>
  <c r="AG287" i="4"/>
  <c r="AG130" i="4"/>
  <c r="AG274" i="4"/>
  <c r="AG263" i="4"/>
  <c r="AG280" i="4"/>
  <c r="AG270" i="4"/>
  <c r="AG281" i="4"/>
  <c r="AG265" i="4"/>
  <c r="AG266" i="4"/>
  <c r="AG132" i="4"/>
  <c r="AG257" i="4"/>
  <c r="AG258" i="4"/>
  <c r="AG196" i="4"/>
  <c r="AG247" i="4"/>
  <c r="AG239" i="4"/>
  <c r="AG140" i="4"/>
  <c r="AG77" i="4"/>
  <c r="AG294" i="4"/>
  <c r="AG301" i="4"/>
  <c r="AG254" i="4"/>
  <c r="AG255" i="4"/>
  <c r="AG225" i="4"/>
  <c r="AG226" i="4"/>
  <c r="AG264" i="4"/>
  <c r="AG231" i="4"/>
  <c r="AG85" i="4"/>
  <c r="AG31" i="4"/>
  <c r="AG141" i="4"/>
  <c r="AG122" i="4"/>
  <c r="AG188" i="4"/>
  <c r="AG144" i="4"/>
  <c r="AG159" i="4"/>
  <c r="AG160" i="4"/>
  <c r="AG161" i="4"/>
  <c r="AG133" i="4"/>
  <c r="AG246" i="4"/>
  <c r="AG119" i="4"/>
  <c r="AG27" i="4"/>
  <c r="AG169" i="4"/>
  <c r="AG102" i="4"/>
  <c r="AG175" i="4"/>
  <c r="AG176" i="4"/>
  <c r="AG90" i="4"/>
  <c r="AG177" i="4"/>
  <c r="AG136" i="4"/>
  <c r="AG178" i="4"/>
  <c r="AG209" i="4"/>
  <c r="AG137" i="4"/>
  <c r="AG138" i="4"/>
  <c r="AG179" i="4"/>
  <c r="AG235" i="4"/>
  <c r="AG91" i="4"/>
  <c r="AG181" i="4"/>
  <c r="AG182" i="4"/>
  <c r="AG61" i="4"/>
  <c r="AG76" i="4"/>
  <c r="AG23" i="4"/>
  <c r="AG25" i="4"/>
  <c r="AG219" i="4"/>
  <c r="AG207" i="4"/>
  <c r="AG220" i="4"/>
  <c r="AG267" i="4"/>
  <c r="AG135" i="4"/>
  <c r="AG208" i="4"/>
  <c r="AG173" i="4"/>
  <c r="AG293" i="4"/>
  <c r="AG142" i="4"/>
  <c r="AG241" i="4"/>
  <c r="AG97" i="4"/>
  <c r="AG113" i="4"/>
  <c r="AG290" i="4"/>
  <c r="AG67" i="4"/>
  <c r="AG14" i="4"/>
  <c r="AG16" i="4"/>
  <c r="AG18" i="4"/>
  <c r="AG131" i="4"/>
  <c r="AG259" i="4"/>
  <c r="AG117" i="4"/>
  <c r="AG174" i="4"/>
  <c r="AG120" i="4"/>
  <c r="AG111" i="4"/>
  <c r="AG236" i="4"/>
  <c r="AG284" i="4"/>
  <c r="AG285" i="4"/>
  <c r="AG286" i="4"/>
  <c r="AG70" i="4"/>
  <c r="AG183" i="4"/>
  <c r="AG41" i="4"/>
  <c r="AG87" i="4"/>
  <c r="AG180" i="4"/>
  <c r="AG110" i="4"/>
  <c r="AG29" i="4"/>
  <c r="AG223" i="4"/>
  <c r="AG79" i="4"/>
  <c r="AG184" i="4"/>
  <c r="AG114" i="4"/>
  <c r="AG123" i="4"/>
  <c r="AG82" i="4"/>
  <c r="AG83" i="4"/>
  <c r="AG84" i="4"/>
  <c r="AG4" i="4"/>
  <c r="AG24" i="4"/>
  <c r="AG155" i="4"/>
  <c r="AG193" i="4"/>
  <c r="AG156" i="4"/>
  <c r="AG157" i="4"/>
  <c r="AG158" i="4"/>
  <c r="AG194" i="4"/>
  <c r="AG288" i="4"/>
  <c r="AG195" i="4"/>
  <c r="AG245" i="4"/>
  <c r="AG163" i="4"/>
  <c r="AG303" i="4"/>
  <c r="AG304" i="4"/>
  <c r="AG317" i="4"/>
  <c r="AG318" i="4"/>
  <c r="AG309" i="4"/>
  <c r="AG310" i="4"/>
  <c r="AG311" i="4"/>
  <c r="AG312" i="4"/>
  <c r="AG313" i="4"/>
  <c r="AG314" i="4"/>
  <c r="AG305" i="4"/>
  <c r="AG306" i="4"/>
  <c r="AG315" i="4"/>
  <c r="AG307" i="4"/>
  <c r="AG316" i="4"/>
  <c r="AG339" i="4"/>
  <c r="AG320" i="4"/>
  <c r="AG337" i="4"/>
  <c r="AG334" i="4"/>
  <c r="AG335" i="4"/>
  <c r="AG321" i="4"/>
  <c r="AG322" i="4"/>
  <c r="AG323" i="4"/>
  <c r="AG324" i="4"/>
  <c r="AG325" i="4"/>
  <c r="AG319" i="4"/>
  <c r="AG343" i="4"/>
  <c r="AG340" i="4"/>
  <c r="AG338" i="4"/>
  <c r="AG341" i="4"/>
  <c r="AG342" i="4"/>
  <c r="AG349" i="4"/>
  <c r="AG347" i="4"/>
  <c r="AG345" i="4"/>
  <c r="AG344" i="4"/>
  <c r="AG351" i="4"/>
  <c r="AG326" i="4"/>
  <c r="AG327" i="4"/>
  <c r="AG328" i="4"/>
  <c r="AG329" i="4"/>
  <c r="AG336" i="4"/>
  <c r="AG331" i="4"/>
  <c r="AG332" i="4"/>
  <c r="AG333" i="4"/>
  <c r="AG346" i="4"/>
  <c r="AG348" i="4"/>
  <c r="AG350" i="4"/>
  <c r="AG330" i="4"/>
  <c r="AG358" i="4"/>
  <c r="AG369" i="4"/>
  <c r="AG370" i="4"/>
  <c r="AG371" i="4"/>
  <c r="AG372" i="4"/>
  <c r="AG373" i="4"/>
  <c r="AG352" i="4"/>
  <c r="AG364" i="4"/>
  <c r="AG353" i="4"/>
  <c r="AG357" i="4"/>
  <c r="AG355" i="4"/>
  <c r="AG359" i="4"/>
  <c r="AG360" i="4"/>
  <c r="AG365" i="4"/>
  <c r="AG356" i="4"/>
  <c r="AG366" i="4"/>
  <c r="AG367" i="4"/>
  <c r="AG368" i="4"/>
  <c r="AG354" i="4"/>
  <c r="AG361" i="4"/>
  <c r="AG363" i="4"/>
  <c r="AG362" i="4"/>
  <c r="AG374" i="4"/>
  <c r="AG375" i="4"/>
  <c r="AG376" i="4"/>
  <c r="AG377" i="4"/>
  <c r="AG378" i="4"/>
  <c r="AG379" i="4"/>
  <c r="AG380" i="4"/>
  <c r="AG381" i="4"/>
  <c r="AG382" i="4"/>
  <c r="AG383" i="4"/>
  <c r="AG385" i="4"/>
  <c r="AG283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51" i="4"/>
  <c r="AA52" i="4"/>
  <c r="AA260" i="4"/>
  <c r="AA58" i="4"/>
  <c r="AA36" i="4"/>
  <c r="AA53" i="4"/>
  <c r="AA54" i="4"/>
  <c r="AA88" i="4"/>
  <c r="AA59" i="4"/>
  <c r="AA89" i="4"/>
  <c r="AA26" i="4"/>
  <c r="AA272" i="4"/>
  <c r="AA273" i="4"/>
  <c r="AA289" i="4"/>
  <c r="AA205" i="4"/>
  <c r="AA27" i="4"/>
  <c r="AA169" i="4"/>
  <c r="AA219" i="4"/>
  <c r="AA102" i="4"/>
  <c r="AA103" i="4"/>
  <c r="AA104" i="4"/>
  <c r="AA105" i="4"/>
  <c r="AA106" i="4"/>
  <c r="AA107" i="4"/>
  <c r="AA108" i="4"/>
  <c r="AA5" i="4"/>
  <c r="AA37" i="4"/>
  <c r="AA38" i="4"/>
  <c r="AA39" i="4"/>
  <c r="AA109" i="4"/>
  <c r="AA60" i="4"/>
  <c r="AA55" i="4"/>
  <c r="AA170" i="4"/>
  <c r="AA171" i="4"/>
  <c r="AA172" i="4"/>
  <c r="AA206" i="4"/>
  <c r="AA207" i="4"/>
  <c r="AA220" i="4"/>
  <c r="AA267" i="4"/>
  <c r="AA135" i="4"/>
  <c r="AA208" i="4"/>
  <c r="AA248" i="4"/>
  <c r="AA302" i="4"/>
  <c r="AA173" i="4"/>
  <c r="AA174" i="4"/>
  <c r="AA221" i="4"/>
  <c r="AA175" i="4"/>
  <c r="AA176" i="4"/>
  <c r="AA90" i="4"/>
  <c r="AA177" i="4"/>
  <c r="AA136" i="4"/>
  <c r="AA178" i="4"/>
  <c r="AA209" i="4"/>
  <c r="AA137" i="4"/>
  <c r="AA138" i="4"/>
  <c r="AA179" i="4"/>
  <c r="AA235" i="4"/>
  <c r="AA180" i="4"/>
  <c r="AA110" i="4"/>
  <c r="AA293" i="4"/>
  <c r="AA40" i="4"/>
  <c r="AA21" i="4"/>
  <c r="AA91" i="4"/>
  <c r="AA181" i="4"/>
  <c r="AA182" i="4"/>
  <c r="AA120" i="4"/>
  <c r="AA111" i="4"/>
  <c r="AA236" i="4"/>
  <c r="AA61" i="4"/>
  <c r="AA261" i="4"/>
  <c r="AA10" i="4"/>
  <c r="AA12" i="4"/>
  <c r="AA295" i="4"/>
  <c r="AA249" i="4"/>
  <c r="AA268" i="4"/>
  <c r="AA291" i="4"/>
  <c r="AA283" i="4"/>
  <c r="AA250" i="4"/>
  <c r="AA237" i="4"/>
  <c r="AA238" i="4"/>
  <c r="AA284" i="4"/>
  <c r="AA285" i="4"/>
  <c r="AA286" i="4"/>
  <c r="AA62" i="4"/>
  <c r="AA139" i="4"/>
  <c r="AA92" i="4"/>
  <c r="AA93" i="4"/>
  <c r="AA121" i="4"/>
  <c r="AA239" i="4"/>
  <c r="AA269" i="4"/>
  <c r="AA76" i="4"/>
  <c r="AA56" i="4"/>
  <c r="AA29" i="4"/>
  <c r="AA222" i="4"/>
  <c r="AA22" i="4"/>
  <c r="AA240" i="4"/>
  <c r="AA23" i="4"/>
  <c r="AA63" i="4"/>
  <c r="AA3" i="4"/>
  <c r="AA183" i="4"/>
  <c r="AA297" i="4"/>
  <c r="AA140" i="4"/>
  <c r="AA77" i="4"/>
  <c r="AA94" i="4"/>
  <c r="AA78" i="4"/>
  <c r="AA96" i="4"/>
  <c r="AA95" i="4"/>
  <c r="AA141" i="4"/>
  <c r="AA298" i="4"/>
  <c r="AA223" i="4"/>
  <c r="AA112" i="4"/>
  <c r="AA142" i="4"/>
  <c r="AA143" i="4"/>
  <c r="AA30" i="4"/>
  <c r="AA31" i="4"/>
  <c r="AA241" i="4"/>
  <c r="AA32" i="4"/>
  <c r="AA97" i="4"/>
  <c r="AA79" i="4"/>
  <c r="AA184" i="4"/>
  <c r="AA64" i="4"/>
  <c r="AA2" i="4"/>
  <c r="AA80" i="4"/>
  <c r="AA262" i="4"/>
  <c r="AA113" i="4"/>
  <c r="AA185" i="4"/>
  <c r="AA11" i="4"/>
  <c r="AA33" i="4"/>
  <c r="AA114" i="4"/>
  <c r="AA278" i="4"/>
  <c r="AA290" i="4"/>
  <c r="AA122" i="4"/>
  <c r="AA13" i="4"/>
  <c r="AA292" i="4"/>
  <c r="AA294" i="4"/>
  <c r="AA123" i="4"/>
  <c r="AA242" i="4"/>
  <c r="AA124" i="4"/>
  <c r="AA81" i="4"/>
  <c r="AA65" i="4"/>
  <c r="AA34" i="4"/>
  <c r="AA186" i="4"/>
  <c r="AA66" i="4"/>
  <c r="AA125" i="4"/>
  <c r="AA41" i="4"/>
  <c r="AA187" i="4"/>
  <c r="AA188" i="4"/>
  <c r="AA251" i="4"/>
  <c r="AA300" i="4"/>
  <c r="AA299" i="4"/>
  <c r="AA144" i="4"/>
  <c r="AA296" i="4"/>
  <c r="AA252" i="4"/>
  <c r="AA82" i="4"/>
  <c r="AA83" i="4"/>
  <c r="AA84" i="4"/>
  <c r="AA115" i="4"/>
  <c r="AA126" i="4"/>
  <c r="AA116" i="4"/>
  <c r="AA57" i="4"/>
  <c r="AA98" i="4"/>
  <c r="AA67" i="4"/>
  <c r="AA68" i="4"/>
  <c r="AA99" i="4"/>
  <c r="AA42" i="4"/>
  <c r="AA43" i="4"/>
  <c r="AA44" i="4"/>
  <c r="AA189" i="4"/>
  <c r="AA253" i="4"/>
  <c r="AA224" i="4"/>
  <c r="AA69" i="4"/>
  <c r="AA127" i="4"/>
  <c r="AA70" i="4"/>
  <c r="AA35" i="4"/>
  <c r="AA4" i="4"/>
  <c r="AA6" i="4"/>
  <c r="AA7" i="4"/>
  <c r="AA8" i="4"/>
  <c r="AA145" i="4"/>
  <c r="AA128" i="4"/>
  <c r="AA14" i="4"/>
  <c r="AA15" i="4"/>
  <c r="AA24" i="4"/>
  <c r="AA16" i="4"/>
  <c r="AA17" i="4"/>
  <c r="AA18" i="4"/>
  <c r="AA19" i="4"/>
  <c r="AA20" i="4"/>
  <c r="AA9" i="4"/>
  <c r="AA301" i="4"/>
  <c r="AA71" i="4"/>
  <c r="AA72" i="4"/>
  <c r="AA73" i="4"/>
  <c r="AA190" i="4"/>
  <c r="AA191" i="4"/>
  <c r="AA129" i="4"/>
  <c r="AA243" i="4"/>
  <c r="AA254" i="4"/>
  <c r="AA255" i="4"/>
  <c r="AA146" i="4"/>
  <c r="AA192" i="4"/>
  <c r="AA279" i="4"/>
  <c r="AA287" i="4"/>
  <c r="AA130" i="4"/>
  <c r="AA274" i="4"/>
  <c r="AA263" i="4"/>
  <c r="AA280" i="4"/>
  <c r="AA270" i="4"/>
  <c r="AA281" i="4"/>
  <c r="AA225" i="4"/>
  <c r="AA226" i="4"/>
  <c r="AA264" i="4"/>
  <c r="AA131" i="4"/>
  <c r="AA147" i="4"/>
  <c r="AA148" i="4"/>
  <c r="AA210" i="4"/>
  <c r="AA149" i="4"/>
  <c r="AA150" i="4"/>
  <c r="AA227" i="4"/>
  <c r="AA151" i="4"/>
  <c r="AA152" i="4"/>
  <c r="AA153" i="4"/>
  <c r="AA211" i="4"/>
  <c r="AA212" i="4"/>
  <c r="AA213" i="4"/>
  <c r="AA154" i="4"/>
  <c r="AA214" i="4"/>
  <c r="AA215" i="4"/>
  <c r="AA265" i="4"/>
  <c r="AA266" i="4"/>
  <c r="AA74" i="4"/>
  <c r="AA155" i="4"/>
  <c r="AA132" i="4"/>
  <c r="AA193" i="4"/>
  <c r="AA156" i="4"/>
  <c r="AA157" i="4"/>
  <c r="AA158" i="4"/>
  <c r="AA256" i="4"/>
  <c r="AA161" i="4"/>
  <c r="AA228" i="4"/>
  <c r="AA229" i="4"/>
  <c r="AA244" i="4"/>
  <c r="AA230" i="4"/>
  <c r="AA231" i="4"/>
  <c r="AA282" i="4"/>
  <c r="AA216" i="4"/>
  <c r="AA85" i="4"/>
  <c r="AA194" i="4"/>
  <c r="AA271" i="4"/>
  <c r="AA133" i="4"/>
  <c r="AA217" i="4"/>
  <c r="AA195" i="4"/>
  <c r="AA257" i="4"/>
  <c r="AA258" i="4"/>
  <c r="AA196" i="4"/>
  <c r="AA233" i="4"/>
  <c r="AA246" i="4"/>
  <c r="AA247" i="4"/>
  <c r="AA259" i="4"/>
  <c r="AA117" i="4"/>
  <c r="AA288" i="4"/>
  <c r="AA234" i="4"/>
  <c r="AA45" i="4"/>
  <c r="AA46" i="4"/>
  <c r="AA47" i="4"/>
  <c r="AA48" i="4"/>
  <c r="AA49" i="4"/>
  <c r="AA197" i="4"/>
  <c r="AA198" i="4"/>
  <c r="AA118" i="4"/>
  <c r="AA162" i="4"/>
  <c r="AA159" i="4"/>
  <c r="AA160" i="4"/>
  <c r="AA100" i="4"/>
  <c r="AA163" i="4"/>
  <c r="AA119" i="4"/>
  <c r="AA218" i="4"/>
  <c r="AA245" i="4"/>
  <c r="AA199" i="4"/>
  <c r="AA200" i="4"/>
  <c r="AA165" i="4"/>
  <c r="AA166" i="4"/>
  <c r="AA167" i="4"/>
  <c r="AA168" i="4"/>
  <c r="AA201" i="4"/>
  <c r="AA75" i="4"/>
  <c r="AA101" i="4"/>
  <c r="AA87" i="4"/>
  <c r="AA202" i="4"/>
  <c r="AA203" i="4"/>
  <c r="AA204" i="4"/>
  <c r="AA25" i="4"/>
  <c r="AA303" i="4"/>
  <c r="AA304" i="4"/>
  <c r="AA317" i="4"/>
  <c r="AA318" i="4"/>
  <c r="AA309" i="4"/>
  <c r="AA310" i="4"/>
  <c r="AA311" i="4"/>
  <c r="AA312" i="4"/>
  <c r="AA313" i="4"/>
  <c r="AA314" i="4"/>
  <c r="AA305" i="4"/>
  <c r="AA306" i="4"/>
  <c r="AA315" i="4"/>
  <c r="AA307" i="4"/>
  <c r="AA316" i="4"/>
  <c r="AA339" i="4"/>
  <c r="AA320" i="4"/>
  <c r="AA337" i="4"/>
  <c r="AA334" i="4"/>
  <c r="AA335" i="4"/>
  <c r="AA321" i="4"/>
  <c r="AA322" i="4"/>
  <c r="AA323" i="4"/>
  <c r="AA324" i="4"/>
  <c r="AA325" i="4"/>
  <c r="AA319" i="4"/>
  <c r="AA343" i="4"/>
  <c r="AA340" i="4"/>
  <c r="AA338" i="4"/>
  <c r="AA341" i="4"/>
  <c r="AA342" i="4"/>
  <c r="AA349" i="4"/>
  <c r="AA347" i="4"/>
  <c r="AA345" i="4"/>
  <c r="AA344" i="4"/>
  <c r="AA350" i="4"/>
  <c r="AA351" i="4"/>
  <c r="AA326" i="4"/>
  <c r="AA327" i="4"/>
  <c r="AA328" i="4"/>
  <c r="AA329" i="4"/>
  <c r="AA336" i="4"/>
  <c r="AA330" i="4"/>
  <c r="AA331" i="4"/>
  <c r="AA332" i="4"/>
  <c r="AA333" i="4"/>
  <c r="AA346" i="4"/>
  <c r="AA348" i="4"/>
  <c r="AA358" i="4"/>
  <c r="AA369" i="4"/>
  <c r="AA354" i="4"/>
  <c r="AA370" i="4"/>
  <c r="AA371" i="4"/>
  <c r="AA372" i="4"/>
  <c r="AA373" i="4"/>
  <c r="AA352" i="4"/>
  <c r="AA364" i="4"/>
  <c r="AA353" i="4"/>
  <c r="AA357" i="4"/>
  <c r="AA355" i="4"/>
  <c r="AA359" i="4"/>
  <c r="AA360" i="4"/>
  <c r="AA365" i="4"/>
  <c r="AA356" i="4"/>
  <c r="AA366" i="4"/>
  <c r="AA367" i="4"/>
  <c r="AA361" i="4"/>
  <c r="AA363" i="4"/>
  <c r="AA368" i="4"/>
  <c r="AA362" i="4"/>
  <c r="AA374" i="4"/>
  <c r="AA375" i="4"/>
  <c r="AA376" i="4"/>
  <c r="AA377" i="4"/>
  <c r="AA378" i="4"/>
  <c r="AA379" i="4"/>
  <c r="AA380" i="4"/>
  <c r="AA381" i="4"/>
  <c r="AA382" i="4"/>
  <c r="AA383" i="4"/>
  <c r="AA385" i="4"/>
  <c r="AA391" i="4"/>
  <c r="AA390" i="4"/>
  <c r="AA389" i="4"/>
  <c r="AA388" i="4"/>
  <c r="AA387" i="4"/>
  <c r="AA393" i="4"/>
  <c r="AA403" i="4"/>
  <c r="AA404" i="4"/>
  <c r="AA407" i="4"/>
  <c r="AA394" i="4"/>
  <c r="AA395" i="4"/>
  <c r="AA396" i="4"/>
  <c r="AA397" i="4"/>
  <c r="AA416" i="4"/>
  <c r="AA408" i="4"/>
  <c r="AA412" i="4"/>
  <c r="AA409" i="4"/>
  <c r="AA410" i="4"/>
  <c r="AA398" i="4"/>
  <c r="AA399" i="4"/>
  <c r="AA400" i="4"/>
  <c r="AA401" i="4"/>
  <c r="AA415" i="4"/>
  <c r="AA405" i="4"/>
  <c r="AA411" i="4"/>
  <c r="AA402" i="4"/>
  <c r="AA392" i="4"/>
  <c r="AA413" i="4"/>
  <c r="AA414" i="4"/>
  <c r="AA406" i="4"/>
  <c r="AA50" i="4"/>
  <c r="AM118" i="5"/>
  <c r="C39" i="8"/>
  <c r="E40" i="8"/>
  <c r="E41" i="8"/>
  <c r="E2" i="8"/>
  <c r="E42" i="8"/>
  <c r="E43" i="8"/>
  <c r="E44" i="8"/>
  <c r="E72" i="8"/>
  <c r="E73" i="8"/>
  <c r="E74" i="8"/>
  <c r="E75" i="8"/>
  <c r="E76" i="8"/>
  <c r="E77" i="8"/>
  <c r="E78" i="8"/>
  <c r="E6" i="8"/>
  <c r="E7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45" i="8"/>
  <c r="E46" i="8"/>
  <c r="E47" i="8"/>
  <c r="E3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4" i="8"/>
  <c r="E61" i="8"/>
  <c r="E62" i="8"/>
  <c r="E5" i="8"/>
  <c r="E63" i="8"/>
  <c r="E64" i="8"/>
  <c r="E65" i="8"/>
  <c r="E66" i="8"/>
  <c r="E67" i="8"/>
  <c r="E68" i="8"/>
  <c r="E69" i="8"/>
  <c r="E70" i="8"/>
  <c r="E71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8" i="8"/>
  <c r="E142" i="8"/>
  <c r="E143" i="8"/>
  <c r="E144" i="8"/>
  <c r="E145" i="8"/>
  <c r="E146" i="8"/>
  <c r="E147" i="8"/>
  <c r="E148" i="8"/>
  <c r="E149" i="8"/>
  <c r="E150" i="8"/>
  <c r="E9" i="8"/>
  <c r="E10" i="8"/>
  <c r="E11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2" i="8"/>
  <c r="E173" i="8"/>
  <c r="E174" i="8"/>
  <c r="E175" i="8"/>
  <c r="E176" i="8"/>
  <c r="E177" i="8"/>
  <c r="E178" i="8"/>
  <c r="E179" i="8"/>
  <c r="E180" i="8"/>
  <c r="E181" i="8"/>
  <c r="E182" i="8"/>
  <c r="E13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4" i="8"/>
  <c r="E195" i="8"/>
  <c r="E196" i="8"/>
  <c r="E197" i="8"/>
  <c r="E198" i="8"/>
  <c r="E199" i="8"/>
  <c r="E200" i="8"/>
  <c r="E201" i="8"/>
  <c r="E15" i="8"/>
  <c r="E202" i="8"/>
  <c r="E203" i="8"/>
  <c r="E16" i="8"/>
  <c r="E204" i="8"/>
  <c r="E205" i="8"/>
  <c r="E206" i="8"/>
  <c r="E207" i="8"/>
  <c r="E208" i="8"/>
  <c r="E209" i="8"/>
  <c r="E17" i="8"/>
  <c r="E210" i="8"/>
  <c r="E211" i="8"/>
  <c r="E212" i="8"/>
  <c r="E213" i="8"/>
  <c r="E214" i="8"/>
  <c r="E215" i="8"/>
  <c r="E216" i="8"/>
  <c r="E217" i="8"/>
  <c r="E218" i="8"/>
  <c r="E18" i="8"/>
  <c r="E219" i="8"/>
  <c r="E220" i="8"/>
  <c r="E19" i="8"/>
  <c r="E20" i="8"/>
  <c r="E21" i="8"/>
  <c r="E221" i="8"/>
  <c r="E222" i="8"/>
  <c r="E223" i="8"/>
  <c r="E224" i="8"/>
  <c r="E225" i="8"/>
  <c r="E226" i="8"/>
  <c r="E227" i="8"/>
  <c r="E228" i="8"/>
  <c r="E22" i="8"/>
  <c r="E23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" i="8"/>
  <c r="E259" i="8"/>
  <c r="E260" i="8"/>
  <c r="E261" i="8"/>
  <c r="E262" i="8"/>
  <c r="E263" i="8"/>
  <c r="E26" i="8"/>
  <c r="E264" i="8"/>
  <c r="E265" i="8"/>
  <c r="E266" i="8"/>
  <c r="E267" i="8"/>
  <c r="E268" i="8"/>
  <c r="E269" i="8"/>
  <c r="E270" i="8"/>
  <c r="E271" i="8"/>
  <c r="E272" i="8"/>
  <c r="E273" i="8"/>
  <c r="E27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29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0" i="8"/>
  <c r="E327" i="8"/>
  <c r="E328" i="8"/>
  <c r="E329" i="8"/>
  <c r="E330" i="8"/>
  <c r="E331" i="8"/>
  <c r="E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3" i="8"/>
  <c r="E361" i="8"/>
  <c r="E362" i="8"/>
  <c r="E363" i="8"/>
  <c r="E364" i="8"/>
  <c r="E365" i="8"/>
  <c r="E366" i="8"/>
  <c r="E367" i="8"/>
  <c r="E34" i="8"/>
  <c r="E368" i="8"/>
  <c r="E369" i="8"/>
  <c r="E370" i="8"/>
  <c r="E35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6" i="8"/>
  <c r="E386" i="8"/>
  <c r="E387" i="8"/>
  <c r="E388" i="8"/>
  <c r="E389" i="8"/>
  <c r="E390" i="8"/>
  <c r="E391" i="8"/>
  <c r="E392" i="8"/>
  <c r="E393" i="8"/>
  <c r="E37" i="8"/>
  <c r="E394" i="8"/>
  <c r="E395" i="8"/>
  <c r="E396" i="8"/>
  <c r="E397" i="8"/>
  <c r="E398" i="8"/>
  <c r="E38" i="8"/>
  <c r="E399" i="8"/>
  <c r="E400" i="8"/>
  <c r="E401" i="8"/>
  <c r="E402" i="8"/>
  <c r="E403" i="8"/>
  <c r="E404" i="8"/>
  <c r="E405" i="8"/>
  <c r="E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W2" i="11" s="1"/>
  <c r="B13" i="11"/>
  <c r="S2" i="11"/>
  <c r="B4" i="11"/>
  <c r="V4" i="11" s="1"/>
  <c r="B8" i="11"/>
  <c r="R8" i="11" s="1"/>
  <c r="B9" i="11"/>
  <c r="B20" i="11"/>
  <c r="W20" i="11" s="1"/>
  <c r="B10" i="11"/>
  <c r="W10" i="11" s="1"/>
  <c r="V10" i="11"/>
  <c r="B11" i="11"/>
  <c r="U11" i="11" s="1"/>
  <c r="V11" i="11"/>
  <c r="B21" i="11"/>
  <c r="V21" i="11" s="1"/>
  <c r="B22" i="11"/>
  <c r="S22" i="11" s="1"/>
  <c r="B23" i="11"/>
  <c r="S23" i="11" s="1"/>
  <c r="B24" i="11"/>
  <c r="S24" i="11" s="1"/>
  <c r="B12" i="11"/>
  <c r="U12" i="11" s="1"/>
  <c r="K12" i="11" s="1"/>
  <c r="M12" i="11" s="1"/>
  <c r="V12" i="11"/>
  <c r="B25" i="11"/>
  <c r="R25" i="11" s="1"/>
  <c r="K25" i="11" s="1"/>
  <c r="M25" i="11" s="1"/>
  <c r="B26" i="11"/>
  <c r="B3" i="11"/>
  <c r="B5" i="11"/>
  <c r="R5" i="11" s="1"/>
  <c r="B15" i="11"/>
  <c r="B19" i="11"/>
  <c r="U19" i="11" s="1"/>
  <c r="B6" i="11"/>
  <c r="S6" i="11" s="1"/>
  <c r="B16" i="11"/>
  <c r="S16" i="11" s="1"/>
  <c r="B17" i="11"/>
  <c r="S17" i="11" s="1"/>
  <c r="B18" i="11"/>
  <c r="R18" i="11" s="1"/>
  <c r="K18" i="11" s="1"/>
  <c r="M18" i="11" s="1"/>
  <c r="B7" i="11"/>
  <c r="S19" i="11"/>
  <c r="S8" i="11"/>
  <c r="S9" i="11"/>
  <c r="S10" i="11"/>
  <c r="S11" i="11"/>
  <c r="S21" i="11"/>
  <c r="S12" i="11"/>
  <c r="S3" i="11"/>
  <c r="S4" i="11"/>
  <c r="S15" i="11"/>
  <c r="S13" i="11"/>
  <c r="U5" i="11"/>
  <c r="K5" i="11" s="1"/>
  <c r="U15" i="11"/>
  <c r="K15" i="11" s="1"/>
  <c r="U6" i="11"/>
  <c r="K6" i="11" s="1"/>
  <c r="J10" i="11"/>
  <c r="J22" i="11"/>
  <c r="J23" i="11"/>
  <c r="J24" i="11"/>
  <c r="J12" i="11"/>
  <c r="W17" i="11"/>
  <c r="W11" i="11"/>
  <c r="W23" i="11"/>
  <c r="W12" i="11"/>
  <c r="U3" i="11"/>
  <c r="U4" i="11"/>
  <c r="K4" i="11" s="1"/>
  <c r="U13" i="11"/>
  <c r="U18" i="11"/>
  <c r="U9" i="11"/>
  <c r="K9" i="11" s="1"/>
  <c r="M9" i="11" s="1"/>
  <c r="U10" i="11"/>
  <c r="K10" i="11" s="1"/>
  <c r="M10" i="11" s="1"/>
  <c r="U22" i="11"/>
  <c r="U25" i="11"/>
  <c r="R13" i="11"/>
  <c r="R15" i="11"/>
  <c r="R6" i="11"/>
  <c r="R16" i="11"/>
  <c r="R17" i="11"/>
  <c r="R9" i="11"/>
  <c r="R10" i="11"/>
  <c r="R22" i="11"/>
  <c r="K22" i="11" s="1"/>
  <c r="R23" i="11"/>
  <c r="R24" i="11"/>
  <c r="R12" i="11"/>
  <c r="R3" i="11"/>
  <c r="R4" i="11"/>
  <c r="R2" i="11"/>
  <c r="U2" i="11"/>
  <c r="K3" i="11"/>
  <c r="M3" i="11" s="1"/>
  <c r="K2" i="11"/>
  <c r="L3" i="11"/>
  <c r="L2" i="11"/>
  <c r="M2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S220" i="5"/>
  <c r="AS219" i="5"/>
  <c r="AS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J2" i="11"/>
  <c r="N2" i="11" s="1"/>
  <c r="J6" i="11"/>
  <c r="J5" i="11"/>
  <c r="J3" i="11"/>
  <c r="N3" i="11" s="1"/>
  <c r="J15" i="11"/>
  <c r="N15" i="11" s="1"/>
  <c r="W25" i="11"/>
  <c r="W9" i="11"/>
  <c r="W8" i="11"/>
  <c r="W16" i="11"/>
  <c r="W6" i="11"/>
  <c r="W15" i="11"/>
  <c r="W5" i="11"/>
  <c r="W4" i="11"/>
  <c r="W3" i="11"/>
  <c r="W13" i="11"/>
  <c r="J9" i="11"/>
  <c r="J8" i="11"/>
  <c r="J13" i="11"/>
  <c r="V6" i="11"/>
  <c r="V19" i="11"/>
  <c r="V15" i="11"/>
  <c r="V5" i="11"/>
  <c r="V3" i="11"/>
  <c r="V25" i="11"/>
  <c r="V9" i="11"/>
  <c r="V2" i="11"/>
  <c r="V13" i="11"/>
  <c r="AM406" i="8"/>
  <c r="AO406" i="8"/>
  <c r="AO405" i="8"/>
  <c r="AM404" i="8"/>
  <c r="AO404" i="8"/>
  <c r="AM393" i="8"/>
  <c r="AO393" i="8"/>
  <c r="AO392" i="8"/>
  <c r="AM391" i="8"/>
  <c r="AO391" i="8"/>
  <c r="AM390" i="8"/>
  <c r="AO390" i="8"/>
  <c r="AM389" i="8"/>
  <c r="AO389" i="8"/>
  <c r="AM388" i="8"/>
  <c r="AO388" i="8"/>
  <c r="AM387" i="8"/>
  <c r="AO387" i="8"/>
  <c r="AM386" i="8"/>
  <c r="AM36" i="8"/>
  <c r="AO36" i="8"/>
  <c r="AM385" i="8"/>
  <c r="AN385" i="8"/>
  <c r="AO385" i="8"/>
  <c r="AM384" i="8"/>
  <c r="AO384" i="8"/>
  <c r="AM383" i="8"/>
  <c r="AN383" i="8"/>
  <c r="AO383" i="8"/>
  <c r="AM382" i="8"/>
  <c r="AN382" i="8"/>
  <c r="AO382" i="8"/>
  <c r="AM380" i="8"/>
  <c r="AO380" i="8"/>
  <c r="AM379" i="8"/>
  <c r="AM378" i="8"/>
  <c r="AM377" i="8"/>
  <c r="AM376" i="8"/>
  <c r="AM375" i="8"/>
  <c r="AM373" i="8"/>
  <c r="AM372" i="8"/>
  <c r="AM371" i="8"/>
  <c r="AM35" i="8"/>
  <c r="AO34" i="8"/>
  <c r="AO359" i="8"/>
  <c r="AO358" i="8"/>
  <c r="AO350" i="8"/>
  <c r="AO349" i="8"/>
  <c r="AO348" i="8"/>
  <c r="AO346" i="8"/>
  <c r="AO345" i="8"/>
  <c r="AO344" i="8"/>
  <c r="AO343" i="8"/>
  <c r="AO342" i="8"/>
  <c r="AO341" i="8"/>
  <c r="AO340" i="8"/>
  <c r="AO339" i="8"/>
  <c r="AO338" i="8"/>
  <c r="AM337" i="8"/>
  <c r="AO337" i="8"/>
  <c r="AO336" i="8"/>
  <c r="AO335" i="8"/>
  <c r="AO334" i="8"/>
  <c r="AO333" i="8"/>
  <c r="AO332" i="8"/>
  <c r="AM31" i="8"/>
  <c r="AO31" i="8"/>
  <c r="AO331" i="8"/>
  <c r="AO330" i="8"/>
  <c r="AO329" i="8"/>
  <c r="AO328" i="8"/>
  <c r="AO327" i="8"/>
  <c r="AM30" i="8"/>
  <c r="AO30" i="8"/>
  <c r="AO326" i="8"/>
  <c r="AO325" i="8"/>
  <c r="AO324" i="8"/>
  <c r="AO323" i="8"/>
  <c r="AO322" i="8"/>
  <c r="AO321" i="8"/>
  <c r="AM304" i="8"/>
  <c r="AM303" i="8"/>
  <c r="AM29" i="8"/>
  <c r="AO29" i="8"/>
  <c r="AM302" i="8"/>
  <c r="AO302" i="8"/>
  <c r="AM301" i="8"/>
  <c r="AM300" i="8"/>
  <c r="AM299" i="8"/>
  <c r="AM298" i="8"/>
  <c r="AM297" i="8"/>
  <c r="AM296" i="8"/>
  <c r="AM295" i="8"/>
  <c r="AM294" i="8"/>
  <c r="AM293" i="8"/>
  <c r="AM291" i="8"/>
  <c r="AM290" i="8"/>
  <c r="AM289" i="8"/>
  <c r="AM288" i="8"/>
  <c r="AM287" i="8"/>
  <c r="AM28" i="8"/>
  <c r="AM286" i="8"/>
  <c r="AM285" i="8"/>
  <c r="AM284" i="8"/>
  <c r="AN284" i="8"/>
  <c r="AM283" i="8"/>
  <c r="AM282" i="8"/>
  <c r="AM281" i="8"/>
  <c r="AM280" i="8"/>
  <c r="AM279" i="8"/>
  <c r="AM278" i="8"/>
  <c r="AM277" i="8"/>
  <c r="AM276" i="8"/>
  <c r="AM275" i="8"/>
  <c r="AM274" i="8"/>
  <c r="AM27" i="8"/>
  <c r="AM273" i="8"/>
  <c r="AN273" i="8"/>
  <c r="AM271" i="8"/>
  <c r="AM270" i="8"/>
  <c r="AM269" i="8"/>
  <c r="AM267" i="8"/>
  <c r="AM266" i="8"/>
  <c r="AM265" i="8"/>
  <c r="AM264" i="8"/>
  <c r="AM26" i="8"/>
  <c r="AM263" i="8"/>
  <c r="AM262" i="8"/>
  <c r="AM261" i="8"/>
  <c r="AM260" i="8"/>
  <c r="AM259" i="8"/>
  <c r="AM25" i="8"/>
  <c r="AM258" i="8"/>
  <c r="AM257" i="8"/>
  <c r="AM256" i="8"/>
  <c r="AM255" i="8"/>
  <c r="AN255" i="8"/>
  <c r="AM254" i="8"/>
  <c r="AN254" i="8"/>
  <c r="AM253" i="8"/>
  <c r="AN253" i="8"/>
  <c r="AM252" i="8"/>
  <c r="AM251" i="8"/>
  <c r="AM250" i="8"/>
  <c r="AM249" i="8"/>
  <c r="AM248" i="8"/>
  <c r="AM247" i="8"/>
  <c r="AM246" i="8"/>
  <c r="AM245" i="8"/>
  <c r="AM244" i="8"/>
  <c r="AM243" i="8"/>
  <c r="AM242" i="8"/>
  <c r="AM241" i="8"/>
  <c r="AM24" i="8"/>
  <c r="AN24" i="8"/>
  <c r="AM240" i="8"/>
  <c r="AN240" i="8"/>
  <c r="AM239" i="8"/>
  <c r="AM238" i="8"/>
  <c r="AM237" i="8"/>
  <c r="AM207" i="8"/>
  <c r="AN207" i="8"/>
  <c r="AM206" i="8"/>
  <c r="AM205" i="8"/>
  <c r="AN205" i="8"/>
  <c r="AM204" i="8"/>
  <c r="AM16" i="8"/>
  <c r="AM203" i="8"/>
  <c r="AN203" i="8"/>
  <c r="AM202" i="8"/>
  <c r="AM15" i="8"/>
  <c r="AN15" i="8"/>
  <c r="AM201" i="8"/>
  <c r="AM200" i="8"/>
  <c r="AM199" i="8"/>
  <c r="AM198" i="8"/>
  <c r="AM197" i="8"/>
  <c r="AM196" i="8"/>
  <c r="AM195" i="8"/>
  <c r="AM14" i="8"/>
  <c r="AN14" i="8"/>
  <c r="AM194" i="8"/>
  <c r="AM193" i="8"/>
  <c r="AM192" i="8"/>
  <c r="AM191" i="8"/>
  <c r="AM190" i="8"/>
  <c r="AM189" i="8"/>
  <c r="AN189" i="8"/>
  <c r="AM188" i="8"/>
  <c r="AM187" i="8"/>
  <c r="AM186" i="8"/>
  <c r="AM11" i="8"/>
  <c r="AM10" i="8"/>
  <c r="AM9" i="8"/>
  <c r="AM150" i="8"/>
  <c r="AN150" i="8"/>
  <c r="AM149" i="8"/>
  <c r="AM148" i="8"/>
  <c r="AN148" i="8"/>
  <c r="AM147" i="8"/>
  <c r="AM146" i="8"/>
  <c r="AN146" i="8"/>
  <c r="AM145" i="8"/>
  <c r="AO145" i="8"/>
  <c r="AM144" i="8"/>
  <c r="AN144" i="8"/>
  <c r="AM143" i="8"/>
  <c r="AM142" i="8"/>
  <c r="AM8" i="8"/>
  <c r="AM141" i="8"/>
  <c r="AM140" i="8"/>
  <c r="AM139" i="8"/>
  <c r="AM138" i="8"/>
  <c r="AM137" i="8"/>
  <c r="AN137" i="8"/>
  <c r="AM136" i="8"/>
  <c r="AN136" i="8"/>
  <c r="AM135" i="8"/>
  <c r="AM134" i="8"/>
  <c r="AM133" i="8"/>
  <c r="AM132" i="8"/>
  <c r="AM131" i="8"/>
  <c r="AM130" i="8"/>
  <c r="AM129" i="8"/>
  <c r="AM128" i="8"/>
  <c r="AM127" i="8"/>
  <c r="AN127" i="8"/>
  <c r="AM125" i="8"/>
  <c r="AN125" i="8"/>
  <c r="AM124" i="8"/>
  <c r="AM123" i="8"/>
  <c r="AM122" i="8"/>
  <c r="AM121" i="8"/>
  <c r="AM118" i="8"/>
  <c r="AM100" i="8"/>
  <c r="AN100" i="8"/>
  <c r="AM71" i="8"/>
  <c r="AM70" i="8"/>
  <c r="AM69" i="8"/>
  <c r="AM68" i="8"/>
  <c r="AM67" i="8"/>
  <c r="AM66" i="8"/>
  <c r="AN66" i="8"/>
  <c r="AM65" i="8"/>
  <c r="AM64" i="8"/>
  <c r="AM63" i="8"/>
  <c r="AM5" i="8"/>
  <c r="AM62" i="8"/>
  <c r="AN62" i="8"/>
  <c r="AM61" i="8"/>
  <c r="AN61" i="8"/>
  <c r="AM4" i="8"/>
  <c r="AM60" i="8"/>
  <c r="AM59" i="8"/>
  <c r="AM58" i="8"/>
  <c r="AM56" i="8"/>
  <c r="AM55" i="8"/>
  <c r="AM54" i="8"/>
  <c r="AM53" i="8"/>
  <c r="AM52" i="8"/>
  <c r="AM51" i="8"/>
  <c r="AM50" i="8"/>
  <c r="AM49" i="8"/>
  <c r="AM48" i="8"/>
  <c r="AM3" i="8"/>
  <c r="AM47" i="8"/>
  <c r="AM46" i="8"/>
  <c r="AM45" i="8"/>
  <c r="AM99" i="8"/>
  <c r="AN99" i="8"/>
  <c r="AM98" i="8"/>
  <c r="AM97" i="8"/>
  <c r="AN97" i="8"/>
  <c r="AM96" i="8"/>
  <c r="AM95" i="8"/>
  <c r="AM94" i="8"/>
  <c r="AM93" i="8"/>
  <c r="AN93" i="8"/>
  <c r="AM92" i="8"/>
  <c r="AN92" i="8"/>
  <c r="AM91" i="8"/>
  <c r="AN91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" i="8"/>
  <c r="AM6" i="8"/>
  <c r="AM78" i="8"/>
  <c r="AM76" i="8"/>
  <c r="AM74" i="8"/>
  <c r="AM73" i="8"/>
  <c r="AM72" i="8"/>
  <c r="AM44" i="8"/>
  <c r="AM43" i="8"/>
  <c r="AM42" i="8"/>
  <c r="AM2" i="8"/>
  <c r="AM41" i="8"/>
  <c r="AM39" i="8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3" i="4"/>
  <c r="AJ163" i="4"/>
  <c r="AJ245" i="4"/>
  <c r="AJ195" i="4"/>
  <c r="AJ288" i="4"/>
  <c r="AJ194" i="4"/>
  <c r="AJ158" i="4"/>
  <c r="AJ157" i="4"/>
  <c r="AJ156" i="4"/>
  <c r="AJ193" i="4"/>
  <c r="AJ155" i="4"/>
  <c r="AJ24" i="4"/>
  <c r="AJ4" i="4"/>
  <c r="AJ84" i="4"/>
  <c r="AJ83" i="4"/>
  <c r="AJ82" i="4"/>
  <c r="AJ123" i="4"/>
  <c r="AJ114" i="4"/>
  <c r="AJ184" i="4"/>
  <c r="AJ79" i="4"/>
  <c r="AJ223" i="4"/>
  <c r="AJ29" i="4"/>
  <c r="AJ110" i="4"/>
  <c r="AJ180" i="4"/>
  <c r="AJ87" i="4"/>
  <c r="AJ41" i="4"/>
  <c r="AJ183" i="4"/>
  <c r="AJ70" i="4"/>
  <c r="AJ286" i="4"/>
  <c r="AJ285" i="4"/>
  <c r="AJ284" i="4"/>
  <c r="AJ236" i="4"/>
  <c r="AJ111" i="4"/>
  <c r="AJ120" i="4"/>
  <c r="AJ174" i="4"/>
  <c r="AJ117" i="4"/>
  <c r="AJ259" i="4"/>
  <c r="AJ131" i="4"/>
  <c r="AJ18" i="4"/>
  <c r="AJ16" i="4"/>
  <c r="AJ14" i="4"/>
  <c r="AJ67" i="4"/>
  <c r="AJ290" i="4"/>
  <c r="AJ113" i="4"/>
  <c r="AJ97" i="4"/>
  <c r="AJ241" i="4"/>
  <c r="AJ142" i="4"/>
  <c r="AJ293" i="4"/>
  <c r="AJ173" i="4"/>
  <c r="AJ208" i="4"/>
  <c r="AJ135" i="4"/>
  <c r="AJ267" i="4"/>
  <c r="AJ220" i="4"/>
  <c r="AJ207" i="4"/>
  <c r="AJ219" i="4"/>
  <c r="AJ25" i="4"/>
  <c r="AJ23" i="4"/>
  <c r="AJ76" i="4"/>
  <c r="AJ61" i="4"/>
  <c r="AJ182" i="4"/>
  <c r="AJ181" i="4"/>
  <c r="AJ91" i="4"/>
  <c r="AJ235" i="4"/>
  <c r="AJ179" i="4"/>
  <c r="AJ138" i="4"/>
  <c r="AJ137" i="4"/>
  <c r="AJ209" i="4"/>
  <c r="AJ178" i="4"/>
  <c r="AJ136" i="4"/>
  <c r="AJ177" i="4"/>
  <c r="AJ90" i="4"/>
  <c r="AJ176" i="4"/>
  <c r="AJ175" i="4"/>
  <c r="AJ102" i="4"/>
  <c r="AJ169" i="4"/>
  <c r="AJ27" i="4"/>
  <c r="AJ119" i="4"/>
  <c r="AJ246" i="4"/>
  <c r="AJ133" i="4"/>
  <c r="AJ161" i="4"/>
  <c r="AJ160" i="4"/>
  <c r="AJ159" i="4"/>
  <c r="AJ144" i="4"/>
  <c r="AJ188" i="4"/>
  <c r="AJ122" i="4"/>
  <c r="AJ141" i="4"/>
  <c r="AJ31" i="4"/>
  <c r="AJ85" i="4"/>
  <c r="AJ231" i="4"/>
  <c r="AJ264" i="4"/>
  <c r="AJ226" i="4"/>
  <c r="AJ225" i="4"/>
  <c r="AJ255" i="4"/>
  <c r="AJ254" i="4"/>
  <c r="AJ301" i="4"/>
  <c r="AJ294" i="4"/>
  <c r="AJ77" i="4"/>
  <c r="AJ140" i="4"/>
  <c r="AJ239" i="4"/>
  <c r="AJ247" i="4"/>
  <c r="AJ196" i="4"/>
  <c r="AJ258" i="4"/>
  <c r="AJ257" i="4"/>
  <c r="AJ132" i="4"/>
  <c r="AJ266" i="4"/>
  <c r="AJ265" i="4"/>
  <c r="AJ281" i="4"/>
  <c r="AJ270" i="4"/>
  <c r="AJ280" i="4"/>
  <c r="AJ263" i="4"/>
  <c r="AJ274" i="4"/>
  <c r="AJ130" i="4"/>
  <c r="AJ287" i="4"/>
  <c r="AJ279" i="4"/>
  <c r="AJ243" i="4"/>
  <c r="AJ129" i="4"/>
  <c r="AJ191" i="4"/>
  <c r="AJ190" i="4"/>
  <c r="AJ73" i="4"/>
  <c r="AJ72" i="4"/>
  <c r="AJ252" i="4"/>
  <c r="AJ300" i="4"/>
  <c r="AJ251" i="4"/>
  <c r="AJ187" i="4"/>
  <c r="AJ81" i="4"/>
  <c r="AJ292" i="4"/>
  <c r="AJ80" i="4"/>
  <c r="AJ64" i="4"/>
  <c r="AJ112" i="4"/>
  <c r="AJ297" i="4"/>
  <c r="AJ222" i="4"/>
  <c r="AJ121" i="4"/>
  <c r="AJ291" i="4"/>
  <c r="AJ221" i="4"/>
  <c r="AJ248" i="4"/>
  <c r="AJ230" i="4"/>
  <c r="AJ244" i="4"/>
  <c r="AJ229" i="4"/>
  <c r="AJ228" i="4"/>
  <c r="AJ256" i="4"/>
  <c r="AJ15" i="4"/>
  <c r="AJ224" i="4"/>
  <c r="AJ253" i="4"/>
  <c r="AJ189" i="4"/>
  <c r="AJ65" i="4"/>
  <c r="AJ242" i="4"/>
  <c r="AJ13" i="4"/>
  <c r="AJ2" i="4"/>
  <c r="AJ143" i="4"/>
  <c r="AJ237" i="4"/>
  <c r="AJ250" i="4"/>
  <c r="AJ162" i="4"/>
  <c r="AJ216" i="4"/>
  <c r="AJ282" i="4"/>
  <c r="AJ150" i="4"/>
  <c r="AJ149" i="4"/>
  <c r="AJ192" i="4"/>
  <c r="AJ128" i="4"/>
  <c r="AJ203" i="4"/>
  <c r="AJ202" i="4"/>
  <c r="AJ198" i="4"/>
  <c r="AJ197" i="4"/>
  <c r="AJ152" i="4"/>
  <c r="AJ151" i="4"/>
  <c r="AJ269" i="4"/>
  <c r="AJ302" i="4"/>
  <c r="AJ74" i="4"/>
  <c r="AJ227" i="4"/>
  <c r="AJ71" i="4"/>
  <c r="AJ20" i="4"/>
  <c r="AJ19" i="4"/>
  <c r="AJ17" i="4"/>
  <c r="AJ35" i="4"/>
  <c r="AJ127" i="4"/>
  <c r="AJ278" i="4"/>
  <c r="AJ22" i="4"/>
  <c r="AJ139" i="4"/>
  <c r="AJ238" i="4"/>
  <c r="AJ268" i="4"/>
  <c r="AJ249" i="4"/>
  <c r="AJ204" i="4"/>
  <c r="AJ101" i="4"/>
  <c r="AJ201" i="4"/>
  <c r="AJ100" i="4"/>
  <c r="AJ118" i="4"/>
  <c r="AJ153" i="4"/>
  <c r="AJ146" i="4"/>
  <c r="AJ145" i="4"/>
  <c r="AJ98" i="4"/>
  <c r="AJ63" i="4"/>
  <c r="AJ240" i="4"/>
  <c r="AJ93" i="4"/>
  <c r="AJ92" i="4"/>
  <c r="AJ99" i="4"/>
  <c r="AJ299" i="4"/>
  <c r="AJ11" i="4"/>
  <c r="AJ298" i="4"/>
  <c r="AJ59" i="4"/>
  <c r="AJ88" i="4"/>
  <c r="AJ53" i="4"/>
  <c r="AJ75" i="4"/>
  <c r="AJ271" i="4"/>
  <c r="AJ8" i="4"/>
  <c r="AJ69" i="4"/>
  <c r="AJ68" i="4"/>
  <c r="AJ62" i="4"/>
  <c r="AJ205" i="4"/>
  <c r="AJ289" i="4"/>
  <c r="AJ273" i="4"/>
  <c r="AJ272" i="4"/>
  <c r="AJ9" i="4"/>
  <c r="AJ7" i="4"/>
  <c r="AJ6" i="4"/>
  <c r="AJ5" i="4"/>
  <c r="AJ49" i="4"/>
  <c r="AJ48" i="4"/>
  <c r="AJ47" i="4"/>
  <c r="AJ46" i="4"/>
  <c r="AJ45" i="4"/>
  <c r="AJ34" i="4"/>
  <c r="AJ32" i="4"/>
  <c r="AJ168" i="4"/>
  <c r="AJ167" i="4"/>
  <c r="AJ166" i="4"/>
  <c r="AJ165" i="4"/>
  <c r="AJ200" i="4"/>
  <c r="AJ199" i="4"/>
  <c r="AJ217" i="4"/>
  <c r="AJ96" i="4"/>
  <c r="AJ3" i="4"/>
  <c r="AJ109" i="4"/>
  <c r="AJ37" i="4"/>
  <c r="AJ26" i="4"/>
  <c r="AJ89" i="4"/>
  <c r="AJ54" i="4"/>
  <c r="AJ36" i="4"/>
  <c r="AJ58" i="4"/>
  <c r="AJ52" i="4"/>
  <c r="AJ51" i="4"/>
  <c r="AJ212" i="4"/>
  <c r="AJ148" i="4"/>
  <c r="AJ147" i="4"/>
  <c r="AJ215" i="4"/>
  <c r="AJ214" i="4"/>
  <c r="AJ154" i="4"/>
  <c r="AJ213" i="4"/>
  <c r="AJ211" i="4"/>
  <c r="AJ210" i="4"/>
  <c r="AJ296" i="4"/>
  <c r="AJ125" i="4"/>
  <c r="AJ66" i="4"/>
  <c r="AJ186" i="4"/>
  <c r="AJ185" i="4"/>
  <c r="AJ10" i="4"/>
  <c r="AJ55" i="4"/>
  <c r="AJ60" i="4"/>
  <c r="AJ12" i="4"/>
  <c r="AJ57" i="4"/>
  <c r="AJ116" i="4"/>
  <c r="AJ108" i="4"/>
  <c r="AJ106" i="4"/>
  <c r="AJ105" i="4"/>
  <c r="AJ44" i="4"/>
  <c r="AJ43" i="4"/>
  <c r="AJ42" i="4"/>
  <c r="AJ33" i="4"/>
  <c r="AJ30" i="4"/>
  <c r="AJ21" i="4"/>
  <c r="AJ40" i="4"/>
  <c r="AJ95" i="4"/>
  <c r="AJ94" i="4"/>
  <c r="AJ262" i="4"/>
  <c r="AJ78" i="4"/>
  <c r="AJ115" i="4"/>
  <c r="AJ107" i="4"/>
  <c r="AJ104" i="4"/>
  <c r="AJ103" i="4"/>
  <c r="AJ218" i="4"/>
  <c r="AJ234" i="4"/>
  <c r="AJ233" i="4"/>
  <c r="AJ126" i="4"/>
  <c r="AJ124" i="4"/>
  <c r="AJ56" i="4"/>
  <c r="AJ295" i="4"/>
  <c r="AJ261" i="4"/>
  <c r="AJ206" i="4"/>
  <c r="AJ172" i="4"/>
  <c r="AJ171" i="4"/>
  <c r="AJ170" i="4"/>
  <c r="AJ39" i="4"/>
  <c r="AJ38" i="4"/>
  <c r="AJ260" i="4"/>
  <c r="AM26" i="2"/>
  <c r="AY58" i="5"/>
  <c r="AY57" i="5"/>
  <c r="AY60" i="5"/>
  <c r="AY161" i="5"/>
  <c r="AY115" i="5"/>
  <c r="AY59" i="5"/>
  <c r="AY56" i="5"/>
  <c r="AY66" i="5"/>
  <c r="AY254" i="5"/>
  <c r="AY65" i="5"/>
  <c r="AY55" i="5"/>
  <c r="AY67" i="5"/>
  <c r="AY256" i="5"/>
  <c r="AY38" i="5"/>
  <c r="AY279" i="5"/>
  <c r="AY257" i="5"/>
  <c r="AY271" i="5"/>
  <c r="AY42" i="5"/>
  <c r="AY41" i="5"/>
  <c r="AY39" i="5"/>
  <c r="AY255" i="5"/>
  <c r="AY44" i="5"/>
  <c r="AY40" i="5"/>
  <c r="AY68" i="5"/>
  <c r="AY153" i="5"/>
  <c r="AY223" i="5"/>
  <c r="AY4" i="5"/>
  <c r="AY198" i="5"/>
  <c r="AY64" i="5"/>
  <c r="AY45" i="5"/>
  <c r="AY122" i="5"/>
  <c r="AY63" i="5"/>
  <c r="AY71" i="5"/>
  <c r="AY62" i="5"/>
  <c r="AY49" i="5"/>
  <c r="AY6" i="5"/>
  <c r="AX6" i="5"/>
  <c r="AY43" i="5"/>
  <c r="AY7" i="5"/>
  <c r="AX7" i="5"/>
  <c r="AY47" i="5"/>
  <c r="AY69" i="5"/>
  <c r="AY121" i="5"/>
  <c r="AY249" i="5"/>
  <c r="AY48" i="5"/>
  <c r="AY294" i="5"/>
  <c r="AY96" i="5"/>
  <c r="AY150" i="5"/>
  <c r="AY197" i="5"/>
  <c r="AY70" i="5"/>
  <c r="AY151" i="5"/>
  <c r="AY120" i="5"/>
  <c r="AY98" i="5"/>
  <c r="AY251" i="5"/>
  <c r="AY224" i="5"/>
  <c r="AY196" i="5"/>
  <c r="AY194" i="5"/>
  <c r="AY297" i="5"/>
  <c r="AY221" i="5"/>
  <c r="AY144" i="5"/>
  <c r="AY46" i="5"/>
  <c r="AY277" i="5"/>
  <c r="AY147" i="5"/>
  <c r="AY136" i="5"/>
  <c r="AY134" i="5"/>
  <c r="AY34" i="5"/>
  <c r="AY274" i="5"/>
  <c r="AY118" i="5"/>
  <c r="AY228" i="5"/>
  <c r="AY163" i="5"/>
  <c r="AY231" i="5"/>
  <c r="AY207" i="5"/>
  <c r="AX207" i="5"/>
  <c r="AY200" i="5"/>
  <c r="AY242" i="5"/>
  <c r="AY154" i="5"/>
  <c r="AY116" i="5"/>
  <c r="AY248" i="5"/>
  <c r="AY247" i="5"/>
  <c r="AY246" i="5"/>
  <c r="AY31" i="5"/>
  <c r="AY124" i="5"/>
  <c r="AY2" i="5"/>
  <c r="AY149" i="5"/>
  <c r="AY129" i="5"/>
  <c r="AY244" i="5"/>
  <c r="AY287" i="5"/>
  <c r="AY179" i="5"/>
  <c r="AY286" i="5"/>
  <c r="AY193" i="5"/>
  <c r="AY157" i="5"/>
  <c r="AY137" i="5"/>
  <c r="AY127" i="5"/>
  <c r="AY126" i="5"/>
  <c r="AY76" i="5"/>
  <c r="AY74" i="5"/>
  <c r="AY258" i="5"/>
  <c r="AY211" i="5"/>
  <c r="AY18" i="5"/>
  <c r="AY17" i="5"/>
  <c r="AY16" i="5"/>
  <c r="AY280" i="5"/>
  <c r="AY3" i="5"/>
  <c r="AY73" i="5"/>
  <c r="AY296" i="5"/>
  <c r="AY295" i="5"/>
  <c r="AY292" i="5"/>
  <c r="AY195" i="5"/>
  <c r="AY172" i="5"/>
  <c r="AY156" i="5"/>
  <c r="AY142" i="5"/>
  <c r="AY130" i="5"/>
  <c r="AY99" i="5"/>
  <c r="AY75" i="5"/>
  <c r="AY239" i="5"/>
  <c r="AY27" i="5"/>
  <c r="AY212" i="5"/>
  <c r="AY21" i="5"/>
  <c r="AY293" i="5"/>
  <c r="AY169" i="5"/>
  <c r="AY167" i="5"/>
  <c r="AY152" i="5"/>
  <c r="AY148" i="5"/>
  <c r="AY141" i="5"/>
  <c r="AY138" i="5"/>
  <c r="AY132" i="5"/>
  <c r="AY15" i="5"/>
  <c r="AY114" i="5"/>
  <c r="AY100" i="5"/>
  <c r="AY9" i="5"/>
  <c r="AY72" i="5"/>
  <c r="AY33" i="5"/>
  <c r="AY217" i="5"/>
  <c r="AY216" i="5"/>
  <c r="AY215" i="5"/>
  <c r="AY158" i="5"/>
  <c r="AY95" i="5"/>
  <c r="AY87" i="5"/>
  <c r="AY85" i="5"/>
  <c r="AY82" i="5"/>
  <c r="AY252" i="5"/>
  <c r="AY245" i="5"/>
  <c r="AY243" i="5"/>
  <c r="AY237" i="5"/>
  <c r="AY234" i="5"/>
  <c r="AY230" i="5"/>
  <c r="AY229" i="5"/>
  <c r="AY218" i="5"/>
  <c r="AY214" i="5"/>
  <c r="AY210" i="5"/>
  <c r="AX210" i="5"/>
  <c r="AY209" i="5"/>
  <c r="AY199" i="5"/>
  <c r="AY178" i="5"/>
  <c r="AY168" i="5"/>
  <c r="AY162" i="5"/>
  <c r="AY160" i="5"/>
  <c r="AY159" i="5"/>
  <c r="AY155" i="5"/>
  <c r="AY145" i="5"/>
  <c r="AY131" i="5"/>
  <c r="AY268" i="5"/>
  <c r="AY108" i="5"/>
  <c r="AX107" i="5"/>
  <c r="AY106" i="5"/>
  <c r="AY103" i="5"/>
  <c r="AY102" i="5"/>
  <c r="AY94" i="5"/>
  <c r="AY93" i="5"/>
  <c r="AY11" i="5"/>
  <c r="AY10" i="5"/>
  <c r="AY92" i="5"/>
  <c r="AY261" i="5"/>
  <c r="AY86" i="5"/>
  <c r="AY260" i="5"/>
  <c r="AY259" i="5"/>
  <c r="AY84" i="5"/>
  <c r="AY83" i="5"/>
  <c r="AY267" i="5"/>
  <c r="AY81" i="5"/>
  <c r="AY266" i="5"/>
  <c r="AY54" i="5"/>
  <c r="AY51" i="5"/>
  <c r="AY232" i="5"/>
  <c r="AY164" i="5"/>
  <c r="AY135" i="5"/>
  <c r="AY14" i="5"/>
  <c r="AY298" i="5"/>
  <c r="AY26" i="5"/>
  <c r="AY25" i="5"/>
  <c r="AY24" i="5"/>
  <c r="AY23" i="5"/>
  <c r="AY22" i="5"/>
  <c r="AY180" i="5"/>
  <c r="AY146" i="5"/>
  <c r="AY123" i="5"/>
  <c r="AY270" i="5"/>
  <c r="AY104" i="5"/>
  <c r="AY253" i="5"/>
  <c r="AY50" i="5"/>
  <c r="AY32" i="5"/>
  <c r="AY30" i="5"/>
  <c r="AY29" i="5"/>
  <c r="AY182" i="5"/>
  <c r="AY140" i="5"/>
  <c r="AY128" i="5"/>
  <c r="AY125" i="5"/>
  <c r="AY273" i="5"/>
  <c r="AY89" i="5"/>
  <c r="AY78" i="5"/>
  <c r="AY265" i="5"/>
  <c r="AY53" i="5"/>
  <c r="AY181" i="5"/>
  <c r="AY174" i="5"/>
  <c r="AY119" i="5"/>
  <c r="AY225" i="5"/>
  <c r="AY208" i="5"/>
  <c r="AY183" i="5"/>
  <c r="AZ227" i="5"/>
  <c r="AY227" i="5"/>
  <c r="AY264" i="5"/>
  <c r="AY241" i="5"/>
  <c r="AY117" i="5"/>
  <c r="AY79" i="5"/>
  <c r="AX79" i="5"/>
  <c r="AY77" i="5"/>
  <c r="AY222" i="5"/>
  <c r="AY171" i="5"/>
  <c r="AY139" i="5"/>
  <c r="AY184" i="5"/>
  <c r="AY173" i="5"/>
  <c r="AY250" i="5"/>
  <c r="AY170" i="5"/>
  <c r="AY166" i="5"/>
  <c r="AY109" i="5"/>
  <c r="AY165" i="5"/>
  <c r="AJ50" i="4"/>
  <c r="J43" i="3"/>
  <c r="BA398" i="5"/>
  <c r="BA394" i="5"/>
  <c r="BA400" i="5"/>
  <c r="BA414" i="5"/>
  <c r="BA411" i="5"/>
  <c r="BA416" i="5"/>
  <c r="BA407" i="5"/>
  <c r="BA405" i="5"/>
  <c r="BA399" i="5"/>
  <c r="BA397" i="5"/>
  <c r="BA392" i="5"/>
  <c r="BA401" i="5"/>
  <c r="BA402" i="5"/>
  <c r="BA413" i="5"/>
  <c r="BA415" i="5"/>
  <c r="BA403" i="5"/>
  <c r="BA410" i="5"/>
  <c r="BA408" i="5"/>
  <c r="BA396" i="5"/>
  <c r="BA412" i="5"/>
  <c r="AM25" i="2"/>
  <c r="AX409" i="5" l="1"/>
  <c r="AS397" i="5"/>
  <c r="AS396" i="5"/>
  <c r="AY396" i="5"/>
  <c r="AG45" i="2"/>
  <c r="AS390" i="5"/>
  <c r="AY388" i="5"/>
  <c r="AR415" i="5"/>
  <c r="AR413" i="5"/>
  <c r="AX401" i="5"/>
  <c r="AS409" i="5"/>
  <c r="D347" i="8"/>
  <c r="E347" i="8"/>
  <c r="C347" i="8"/>
  <c r="AX412" i="5"/>
  <c r="AX410" i="5"/>
  <c r="AR403" i="5"/>
  <c r="AS391" i="5"/>
  <c r="AQ390" i="5"/>
  <c r="AX387" i="5"/>
  <c r="AB347" i="8"/>
  <c r="AO347" i="8"/>
  <c r="Z347" i="8"/>
  <c r="T347" i="8"/>
  <c r="R347" i="8"/>
  <c r="BA406" i="5"/>
  <c r="AU406" i="5"/>
  <c r="AY401" i="5"/>
  <c r="BA393" i="5"/>
  <c r="U395" i="8"/>
  <c r="AG385" i="8"/>
  <c r="AG388" i="8"/>
  <c r="AS407" i="5"/>
  <c r="AR398" i="5"/>
  <c r="AS389" i="5"/>
  <c r="G212" i="9"/>
  <c r="G216" i="9"/>
  <c r="G248" i="9"/>
  <c r="G252" i="9"/>
  <c r="G264" i="9"/>
  <c r="G375" i="9"/>
  <c r="G387" i="9"/>
  <c r="G395" i="9"/>
  <c r="G399" i="9"/>
  <c r="G407" i="9"/>
  <c r="AP350" i="8"/>
  <c r="F350" i="8" s="1"/>
  <c r="AR390" i="5"/>
  <c r="AY407" i="5"/>
  <c r="AY404" i="5"/>
  <c r="AS410" i="5"/>
  <c r="AR400" i="5"/>
  <c r="AR394" i="5"/>
  <c r="AY391" i="5"/>
  <c r="AT387" i="5"/>
  <c r="AF32" i="8"/>
  <c r="AR32" i="8" s="1"/>
  <c r="AE32" i="8"/>
  <c r="AS413" i="5"/>
  <c r="C32" i="8"/>
  <c r="E32" i="8"/>
  <c r="AB32" i="8"/>
  <c r="AY416" i="5"/>
  <c r="Z32" i="8"/>
  <c r="AO32" i="8"/>
  <c r="V32" i="8"/>
  <c r="AQ162" i="8"/>
  <c r="G162" i="8" s="1"/>
  <c r="X402" i="8"/>
  <c r="BA145" i="8"/>
  <c r="Q145" i="8" s="1"/>
  <c r="AR416" i="5"/>
  <c r="AR395" i="5"/>
  <c r="AX415" i="5"/>
  <c r="G3" i="9"/>
  <c r="G7" i="9"/>
  <c r="G11" i="9"/>
  <c r="G15" i="9"/>
  <c r="G19" i="9"/>
  <c r="G23" i="9"/>
  <c r="G27" i="9"/>
  <c r="G31" i="9"/>
  <c r="G39" i="9"/>
  <c r="G43" i="9"/>
  <c r="G51" i="9"/>
  <c r="G55" i="9"/>
  <c r="G63" i="9"/>
  <c r="G67" i="9"/>
  <c r="G75" i="9"/>
  <c r="G79" i="9"/>
  <c r="G87" i="9"/>
  <c r="G91" i="9"/>
  <c r="G99" i="9"/>
  <c r="G103" i="9"/>
  <c r="G111" i="9"/>
  <c r="G115" i="9"/>
  <c r="G123" i="9"/>
  <c r="G127" i="9"/>
  <c r="G135" i="9"/>
  <c r="G139" i="9"/>
  <c r="G147" i="9"/>
  <c r="G151" i="9"/>
  <c r="G159" i="9"/>
  <c r="G171" i="9"/>
  <c r="G183" i="9"/>
  <c r="G195" i="9"/>
  <c r="G239" i="9"/>
  <c r="G350" i="9"/>
  <c r="G354" i="9"/>
  <c r="G362" i="9"/>
  <c r="G386" i="9"/>
  <c r="G284" i="9"/>
  <c r="G288" i="9"/>
  <c r="G296" i="9"/>
  <c r="G300" i="9"/>
  <c r="G320" i="9"/>
  <c r="G332" i="9"/>
  <c r="AR388" i="5"/>
  <c r="G347" i="9"/>
  <c r="AY397" i="5"/>
  <c r="AY389" i="5"/>
  <c r="AS8" i="8"/>
  <c r="I8" i="8" s="1"/>
  <c r="AX402" i="5"/>
  <c r="AY393" i="5"/>
  <c r="AU162" i="8"/>
  <c r="K162" i="8" s="1"/>
  <c r="AY412" i="5"/>
  <c r="AX411" i="5"/>
  <c r="AR123" i="8"/>
  <c r="AU392" i="8"/>
  <c r="K392" i="8" s="1"/>
  <c r="AM403" i="8"/>
  <c r="AP321" i="5"/>
  <c r="AD323" i="8"/>
  <c r="AP323" i="8" s="1"/>
  <c r="F323" i="8" s="1"/>
  <c r="AR112" i="8"/>
  <c r="H112" i="8" s="1"/>
  <c r="AR405" i="5"/>
  <c r="AX413" i="5"/>
  <c r="AR404" i="5"/>
  <c r="AS402" i="5"/>
  <c r="AX396" i="5"/>
  <c r="AS393" i="5"/>
  <c r="AU388" i="5"/>
  <c r="X387" i="8"/>
  <c r="V386" i="8"/>
  <c r="AF388" i="8"/>
  <c r="AR388" i="8" s="1"/>
  <c r="H388" i="8" s="1"/>
  <c r="AS403" i="5"/>
  <c r="AY414" i="5"/>
  <c r="AV389" i="5"/>
  <c r="AU380" i="8"/>
  <c r="AV385" i="8"/>
  <c r="L385" i="8" s="1"/>
  <c r="AR399" i="5"/>
  <c r="U396" i="8"/>
  <c r="AG36" i="8"/>
  <c r="X391" i="8"/>
  <c r="AL404" i="8"/>
  <c r="AX404" i="8" s="1"/>
  <c r="N404" i="8" s="1"/>
  <c r="AP385" i="8"/>
  <c r="F385" i="8" s="1"/>
  <c r="AQ334" i="8"/>
  <c r="G334" i="8" s="1"/>
  <c r="AR321" i="8"/>
  <c r="H321" i="8" s="1"/>
  <c r="AQ148" i="8"/>
  <c r="G148" i="8" s="1"/>
  <c r="AY302" i="5"/>
  <c r="K380" i="8"/>
  <c r="AT383" i="8"/>
  <c r="J383" i="8" s="1"/>
  <c r="I397" i="8"/>
  <c r="AX400" i="5"/>
  <c r="AY399" i="5"/>
  <c r="AX398" i="5"/>
  <c r="AX394" i="5"/>
  <c r="AQ391" i="5"/>
  <c r="AW388" i="5"/>
  <c r="AX349" i="5"/>
  <c r="AR246" i="8"/>
  <c r="H246" i="8" s="1"/>
  <c r="AS398" i="8"/>
  <c r="AR342" i="8"/>
  <c r="H342" i="8" s="1"/>
  <c r="AQ313" i="8"/>
  <c r="G313" i="8" s="1"/>
  <c r="AQ186" i="8"/>
  <c r="G186" i="8" s="1"/>
  <c r="AS85" i="8"/>
  <c r="I85" i="8" s="1"/>
  <c r="AR121" i="8"/>
  <c r="AS63" i="8"/>
  <c r="I63" i="8" s="1"/>
  <c r="AZ62" i="8"/>
  <c r="P62" i="8" s="1"/>
  <c r="AX325" i="8"/>
  <c r="N325" i="8" s="1"/>
  <c r="AS257" i="8"/>
  <c r="I257" i="8" s="1"/>
  <c r="AS101" i="8"/>
  <c r="I101" i="8" s="1"/>
  <c r="AQ41" i="8"/>
  <c r="G41" i="8" s="1"/>
  <c r="AP382" i="8"/>
  <c r="F382" i="8" s="1"/>
  <c r="AI73" i="2"/>
  <c r="AX321" i="8"/>
  <c r="N321" i="8" s="1"/>
  <c r="AQ104" i="8"/>
  <c r="G104" i="8" s="1"/>
  <c r="AQ302" i="8"/>
  <c r="G302" i="8" s="1"/>
  <c r="AZ24" i="8"/>
  <c r="P24" i="8" s="1"/>
  <c r="AR312" i="8"/>
  <c r="AU279" i="8"/>
  <c r="K279" i="8" s="1"/>
  <c r="AS133" i="8"/>
  <c r="I133" i="8" s="1"/>
  <c r="AR406" i="5"/>
  <c r="AQ271" i="8"/>
  <c r="G271" i="8" s="1"/>
  <c r="AQ222" i="8"/>
  <c r="G222" i="8" s="1"/>
  <c r="AW68" i="8"/>
  <c r="M68" i="8" s="1"/>
  <c r="AQ30" i="8"/>
  <c r="G30" i="8" s="1"/>
  <c r="AY20" i="5"/>
  <c r="AS68" i="8"/>
  <c r="I68" i="8" s="1"/>
  <c r="AR350" i="8"/>
  <c r="H350" i="8" s="1"/>
  <c r="AU399" i="8"/>
  <c r="K399" i="8" s="1"/>
  <c r="AQ18" i="8"/>
  <c r="G18" i="8" s="1"/>
  <c r="AQ397" i="8"/>
  <c r="G397" i="8" s="1"/>
  <c r="AQ192" i="8"/>
  <c r="G192" i="8" s="1"/>
  <c r="E9" i="3"/>
  <c r="AQ329" i="8"/>
  <c r="G329" i="8" s="1"/>
  <c r="AP404" i="8"/>
  <c r="F404" i="8" s="1"/>
  <c r="AS105" i="8"/>
  <c r="I105" i="8" s="1"/>
  <c r="AQ258" i="8"/>
  <c r="G258" i="8" s="1"/>
  <c r="AQ319" i="8"/>
  <c r="G319" i="8" s="1"/>
  <c r="AV383" i="8"/>
  <c r="L383" i="8" s="1"/>
  <c r="AZ255" i="8"/>
  <c r="P255" i="8" s="1"/>
  <c r="AQ212" i="8"/>
  <c r="G212" i="8" s="1"/>
  <c r="AS284" i="8"/>
  <c r="I284" i="8" s="1"/>
  <c r="AS297" i="8"/>
  <c r="I297" i="8" s="1"/>
  <c r="AS260" i="8"/>
  <c r="I260" i="8" s="1"/>
  <c r="AQ246" i="8"/>
  <c r="G246" i="8" s="1"/>
  <c r="AS137" i="8"/>
  <c r="I137" i="8" s="1"/>
  <c r="AR128" i="8"/>
  <c r="AS97" i="8"/>
  <c r="I97" i="8" s="1"/>
  <c r="AZ382" i="8"/>
  <c r="P382" i="8" s="1"/>
  <c r="AS272" i="8"/>
  <c r="I272" i="8" s="1"/>
  <c r="AZ14" i="8"/>
  <c r="P14" i="8" s="1"/>
  <c r="AQ237" i="8"/>
  <c r="G237" i="8" s="1"/>
  <c r="AQ43" i="8"/>
  <c r="AQ40" i="8"/>
  <c r="G40" i="8" s="1"/>
  <c r="AF397" i="8"/>
  <c r="AR397" i="8" s="1"/>
  <c r="H397" i="8" s="1"/>
  <c r="AE385" i="8"/>
  <c r="AQ385" i="8" s="1"/>
  <c r="G385" i="8" s="1"/>
  <c r="AQ292" i="8"/>
  <c r="G292" i="8" s="1"/>
  <c r="BA29" i="8"/>
  <c r="Q29" i="8" s="1"/>
  <c r="AS157" i="8"/>
  <c r="I157" i="8" s="1"/>
  <c r="AZ127" i="8"/>
  <c r="P127" i="8" s="1"/>
  <c r="AQ123" i="8"/>
  <c r="G123" i="8" s="1"/>
  <c r="AS82" i="8"/>
  <c r="I82" i="8" s="1"/>
  <c r="AQ21" i="8"/>
  <c r="G21" i="8" s="1"/>
  <c r="G5" i="9"/>
  <c r="G9" i="9"/>
  <c r="G13" i="9"/>
  <c r="G17" i="9"/>
  <c r="G21" i="9"/>
  <c r="G25" i="9"/>
  <c r="G29" i="9"/>
  <c r="G33" i="9"/>
  <c r="G37" i="9"/>
  <c r="G45" i="9"/>
  <c r="G49" i="9"/>
  <c r="G57" i="9"/>
  <c r="G61" i="9"/>
  <c r="G69" i="9"/>
  <c r="G73" i="9"/>
  <c r="G81" i="9"/>
  <c r="G85" i="9"/>
  <c r="G93" i="9"/>
  <c r="G97" i="9"/>
  <c r="G105" i="9"/>
  <c r="G109" i="9"/>
  <c r="G117" i="9"/>
  <c r="G121" i="9"/>
  <c r="G129" i="9"/>
  <c r="G133" i="9"/>
  <c r="G141" i="9"/>
  <c r="G145" i="9"/>
  <c r="G153" i="9"/>
  <c r="G157" i="9"/>
  <c r="G165" i="9"/>
  <c r="G177" i="9"/>
  <c r="G189" i="9"/>
  <c r="G201" i="9"/>
  <c r="G213" i="9"/>
  <c r="G225" i="9"/>
  <c r="G237" i="9"/>
  <c r="G346" i="9"/>
  <c r="AZ385" i="8"/>
  <c r="P385" i="8" s="1"/>
  <c r="AU38" i="8"/>
  <c r="K38" i="8" s="1"/>
  <c r="AU403" i="8"/>
  <c r="K403" i="8" s="1"/>
  <c r="AQ128" i="8"/>
  <c r="G128" i="8" s="1"/>
  <c r="G38" i="9"/>
  <c r="G50" i="9"/>
  <c r="G62" i="9"/>
  <c r="G74" i="9"/>
  <c r="G86" i="9"/>
  <c r="G98" i="9"/>
  <c r="G110" i="9"/>
  <c r="G122" i="9"/>
  <c r="G134" i="9"/>
  <c r="G146" i="9"/>
  <c r="G158" i="9"/>
  <c r="G166" i="9"/>
  <c r="G170" i="9"/>
  <c r="G178" i="9"/>
  <c r="G182" i="9"/>
  <c r="G190" i="9"/>
  <c r="G194" i="9"/>
  <c r="G214" i="9"/>
  <c r="G230" i="9"/>
  <c r="G302" i="9"/>
  <c r="G349" i="9"/>
  <c r="G357" i="9"/>
  <c r="AQ331" i="8"/>
  <c r="G331" i="8" s="1"/>
  <c r="BA34" i="8"/>
  <c r="Q34" i="8" s="1"/>
  <c r="AS386" i="8"/>
  <c r="I386" i="8" s="1"/>
  <c r="AS170" i="8"/>
  <c r="I170" i="8" s="1"/>
  <c r="AS193" i="8"/>
  <c r="I193" i="8" s="1"/>
  <c r="G390" i="9"/>
  <c r="G394" i="9"/>
  <c r="AS392" i="5"/>
  <c r="AZ388" i="5"/>
  <c r="AX346" i="5"/>
  <c r="AR309" i="8"/>
  <c r="AQ243" i="8"/>
  <c r="G243" i="8" s="1"/>
  <c r="AX38" i="8"/>
  <c r="N38" i="8" s="1"/>
  <c r="G228" i="9"/>
  <c r="G379" i="9"/>
  <c r="G383" i="9"/>
  <c r="AR414" i="5"/>
  <c r="G415" i="9"/>
  <c r="AR236" i="8"/>
  <c r="H236" i="8" s="1"/>
  <c r="AQ74" i="8"/>
  <c r="G74" i="8" s="1"/>
  <c r="AS18" i="8"/>
  <c r="I18" i="8" s="1"/>
  <c r="AQ62" i="8"/>
  <c r="AX37" i="8"/>
  <c r="AS80" i="8"/>
  <c r="I80" i="8" s="1"/>
  <c r="AR5" i="8"/>
  <c r="H5" i="8" s="1"/>
  <c r="AP403" i="8"/>
  <c r="F403" i="8" s="1"/>
  <c r="AQ338" i="8"/>
  <c r="G338" i="8" s="1"/>
  <c r="AS243" i="8"/>
  <c r="I243" i="8" s="1"/>
  <c r="AS214" i="8"/>
  <c r="I214" i="8" s="1"/>
  <c r="AR162" i="8"/>
  <c r="H162" i="8" s="1"/>
  <c r="G245" i="9"/>
  <c r="G253" i="9"/>
  <c r="G257" i="9"/>
  <c r="G265" i="9"/>
  <c r="G281" i="9"/>
  <c r="G301" i="9"/>
  <c r="G317" i="9"/>
  <c r="G364" i="9"/>
  <c r="G368" i="9"/>
  <c r="AY19" i="5"/>
  <c r="G384" i="9"/>
  <c r="AQ401" i="8"/>
  <c r="G401" i="8" s="1"/>
  <c r="AQ335" i="8"/>
  <c r="G335" i="8" s="1"/>
  <c r="AR319" i="8"/>
  <c r="H319" i="8" s="1"/>
  <c r="AQ209" i="8"/>
  <c r="G209" i="8" s="1"/>
  <c r="AS186" i="8"/>
  <c r="I186" i="8" s="1"/>
  <c r="AS47" i="8"/>
  <c r="I47" i="8" s="1"/>
  <c r="AX383" i="8"/>
  <c r="N383" i="8" s="1"/>
  <c r="AQ342" i="8"/>
  <c r="G342" i="8" s="1"/>
  <c r="AQ253" i="8"/>
  <c r="G253" i="8" s="1"/>
  <c r="AQ97" i="8"/>
  <c r="G97" i="8" s="1"/>
  <c r="AS72" i="8"/>
  <c r="I72" i="8" s="1"/>
  <c r="AS25" i="8"/>
  <c r="I25" i="8" s="1"/>
  <c r="AR122" i="8"/>
  <c r="AQ65" i="8"/>
  <c r="G65" i="8" s="1"/>
  <c r="AM392" i="8"/>
  <c r="AY392" i="8" s="1"/>
  <c r="O392" i="8" s="1"/>
  <c r="AR301" i="8"/>
  <c r="H301" i="8" s="1"/>
  <c r="AR21" i="8"/>
  <c r="H21" i="8" s="1"/>
  <c r="AQ124" i="8"/>
  <c r="G124" i="8" s="1"/>
  <c r="AP395" i="8"/>
  <c r="F395" i="8" s="1"/>
  <c r="AR262" i="8"/>
  <c r="H262" i="8" s="1"/>
  <c r="AS242" i="8"/>
  <c r="I242" i="8" s="1"/>
  <c r="AR60" i="8"/>
  <c r="H60" i="8" s="1"/>
  <c r="G258" i="9"/>
  <c r="G266" i="9"/>
  <c r="G294" i="9"/>
  <c r="G330" i="9"/>
  <c r="G369" i="9"/>
  <c r="AZ240" i="8"/>
  <c r="P240" i="8" s="1"/>
  <c r="AX348" i="5"/>
  <c r="AR37" i="8"/>
  <c r="H37" i="8" s="1"/>
  <c r="AR275" i="8"/>
  <c r="H275" i="8" s="1"/>
  <c r="AQ382" i="8"/>
  <c r="G382" i="8" s="1"/>
  <c r="AQ270" i="8"/>
  <c r="G270" i="8" s="1"/>
  <c r="AS155" i="8"/>
  <c r="I155" i="8" s="1"/>
  <c r="G203" i="9"/>
  <c r="G215" i="9"/>
  <c r="G219" i="9"/>
  <c r="G223" i="9"/>
  <c r="G255" i="9"/>
  <c r="G259" i="9"/>
  <c r="G283" i="9"/>
  <c r="G287" i="9"/>
  <c r="G291" i="9"/>
  <c r="G295" i="9"/>
  <c r="G311" i="9"/>
  <c r="G323" i="9"/>
  <c r="AQ29" i="8"/>
  <c r="G29" i="8" s="1"/>
  <c r="G249" i="9"/>
  <c r="G261" i="9"/>
  <c r="G273" i="9"/>
  <c r="G285" i="9"/>
  <c r="G297" i="9"/>
  <c r="G337" i="9"/>
  <c r="G351" i="9"/>
  <c r="G359" i="9"/>
  <c r="G398" i="9"/>
  <c r="G222" i="9"/>
  <c r="G309" i="9"/>
  <c r="G363" i="9"/>
  <c r="G371" i="9"/>
  <c r="G242" i="9"/>
  <c r="G250" i="9"/>
  <c r="G286" i="9"/>
  <c r="G298" i="9"/>
  <c r="G321" i="9"/>
  <c r="G352" i="9"/>
  <c r="G411" i="9"/>
  <c r="AR409" i="5"/>
  <c r="AP388" i="5"/>
  <c r="AW387" i="5"/>
  <c r="AZ137" i="8"/>
  <c r="P137" i="8" s="1"/>
  <c r="AS201" i="8"/>
  <c r="I201" i="8" s="1"/>
  <c r="AZ253" i="8"/>
  <c r="AR208" i="8"/>
  <c r="H208" i="8" s="1"/>
  <c r="AQ110" i="8"/>
  <c r="G110" i="8" s="1"/>
  <c r="AQ197" i="8"/>
  <c r="G197" i="8" s="1"/>
  <c r="AZ97" i="8"/>
  <c r="P97" i="8" s="1"/>
  <c r="AQ5" i="8"/>
  <c r="G5" i="8" s="1"/>
  <c r="AQ315" i="8"/>
  <c r="G315" i="8" s="1"/>
  <c r="AS303" i="8"/>
  <c r="I303" i="8" s="1"/>
  <c r="AR20" i="8"/>
  <c r="H20" i="8" s="1"/>
  <c r="AS112" i="8"/>
  <c r="I112" i="8" s="1"/>
  <c r="AS90" i="8"/>
  <c r="I90" i="8" s="1"/>
  <c r="AR336" i="8"/>
  <c r="AQ282" i="8"/>
  <c r="AS240" i="8"/>
  <c r="I240" i="8" s="1"/>
  <c r="AQ210" i="8"/>
  <c r="G210" i="8" s="1"/>
  <c r="AS147" i="8"/>
  <c r="I147" i="8" s="1"/>
  <c r="AW144" i="8"/>
  <c r="M144" i="8" s="1"/>
  <c r="AQ103" i="8"/>
  <c r="G103" i="8" s="1"/>
  <c r="AS36" i="8"/>
  <c r="I36" i="8" s="1"/>
  <c r="AR31" i="8"/>
  <c r="H31" i="8" s="1"/>
  <c r="AR28" i="8"/>
  <c r="H28" i="8" s="1"/>
  <c r="G207" i="9"/>
  <c r="G322" i="9"/>
  <c r="G372" i="9"/>
  <c r="AP391" i="8"/>
  <c r="AX329" i="8"/>
  <c r="N329" i="8" s="1"/>
  <c r="AQ263" i="8"/>
  <c r="G263" i="8" s="1"/>
  <c r="AS256" i="8"/>
  <c r="I256" i="8" s="1"/>
  <c r="AR245" i="8"/>
  <c r="H245" i="8" s="1"/>
  <c r="AS225" i="8"/>
  <c r="I225" i="8" s="1"/>
  <c r="AQ323" i="8"/>
  <c r="G323" i="8" s="1"/>
  <c r="AR144" i="8"/>
  <c r="H144" i="8" s="1"/>
  <c r="AS123" i="8"/>
  <c r="I123" i="8" s="1"/>
  <c r="AS43" i="8"/>
  <c r="I43" i="8" s="1"/>
  <c r="AX348" i="8"/>
  <c r="N348" i="8" s="1"/>
  <c r="AS276" i="8"/>
  <c r="I276" i="8" s="1"/>
  <c r="AQ274" i="8"/>
  <c r="G274" i="8" s="1"/>
  <c r="AR270" i="8"/>
  <c r="H270" i="8" s="1"/>
  <c r="AS252" i="8"/>
  <c r="I252" i="8" s="1"/>
  <c r="G4" i="9"/>
  <c r="G8" i="9"/>
  <c r="G12" i="9"/>
  <c r="G16" i="9"/>
  <c r="G20" i="9"/>
  <c r="G24" i="9"/>
  <c r="G28" i="9"/>
  <c r="G32" i="9"/>
  <c r="G36" i="9"/>
  <c r="G40" i="9"/>
  <c r="G48" i="9"/>
  <c r="G52" i="9"/>
  <c r="G60" i="9"/>
  <c r="G64" i="9"/>
  <c r="G72" i="9"/>
  <c r="G76" i="9"/>
  <c r="G84" i="9"/>
  <c r="G88" i="9"/>
  <c r="G96" i="9"/>
  <c r="G100" i="9"/>
  <c r="G108" i="9"/>
  <c r="G112" i="9"/>
  <c r="G120" i="9"/>
  <c r="G124" i="9"/>
  <c r="G132" i="9"/>
  <c r="G136" i="9"/>
  <c r="G144" i="9"/>
  <c r="G148" i="9"/>
  <c r="G156" i="9"/>
  <c r="G168" i="9"/>
  <c r="G180" i="9"/>
  <c r="G192" i="9"/>
  <c r="G224" i="9"/>
  <c r="G243" i="9"/>
  <c r="G251" i="9"/>
  <c r="G275" i="9"/>
  <c r="G279" i="9"/>
  <c r="G339" i="9"/>
  <c r="G343" i="9"/>
  <c r="G373" i="9"/>
  <c r="G396" i="9"/>
  <c r="G412" i="9"/>
  <c r="G416" i="9"/>
  <c r="AQ398" i="8"/>
  <c r="G398" i="8" s="1"/>
  <c r="AQ86" i="8"/>
  <c r="G348" i="9"/>
  <c r="AR406" i="8"/>
  <c r="H406" i="8" s="1"/>
  <c r="AS301" i="8"/>
  <c r="I301" i="8" s="1"/>
  <c r="AQ146" i="8"/>
  <c r="G146" i="8" s="1"/>
  <c r="G260" i="9"/>
  <c r="G268" i="9"/>
  <c r="G272" i="9"/>
  <c r="G315" i="9"/>
  <c r="G336" i="9"/>
  <c r="G340" i="9"/>
  <c r="G344" i="9"/>
  <c r="G377" i="9"/>
  <c r="G381" i="9"/>
  <c r="G389" i="9"/>
  <c r="G397" i="9"/>
  <c r="G401" i="9"/>
  <c r="AS126" i="8"/>
  <c r="I126" i="8" s="1"/>
  <c r="AR79" i="8"/>
  <c r="AZ15" i="8"/>
  <c r="P15" i="8" s="1"/>
  <c r="AR313" i="8"/>
  <c r="H313" i="8" s="1"/>
  <c r="AQ350" i="8"/>
  <c r="G350" i="8" s="1"/>
  <c r="AQ348" i="8"/>
  <c r="G348" i="8" s="1"/>
  <c r="AQ337" i="8"/>
  <c r="G337" i="8" s="1"/>
  <c r="AR249" i="8"/>
  <c r="AQ236" i="8"/>
  <c r="G236" i="8" s="1"/>
  <c r="AR209" i="8"/>
  <c r="H209" i="8" s="1"/>
  <c r="AU382" i="8"/>
  <c r="K382" i="8" s="1"/>
  <c r="AR322" i="8"/>
  <c r="H322" i="8" s="1"/>
  <c r="AS194" i="8"/>
  <c r="I194" i="8" s="1"/>
  <c r="AQ149" i="8"/>
  <c r="G209" i="9"/>
  <c r="G229" i="9"/>
  <c r="G324" i="9"/>
  <c r="G328" i="9"/>
  <c r="G41" i="9"/>
  <c r="G53" i="9"/>
  <c r="G65" i="9"/>
  <c r="G77" i="9"/>
  <c r="G89" i="9"/>
  <c r="G101" i="9"/>
  <c r="G113" i="9"/>
  <c r="G125" i="9"/>
  <c r="G137" i="9"/>
  <c r="G149" i="9"/>
  <c r="G161" i="9"/>
  <c r="G169" i="9"/>
  <c r="G173" i="9"/>
  <c r="G181" i="9"/>
  <c r="G185" i="9"/>
  <c r="G193" i="9"/>
  <c r="G197" i="9"/>
  <c r="G204" i="9"/>
  <c r="G208" i="9"/>
  <c r="G227" i="9"/>
  <c r="G234" i="9"/>
  <c r="G238" i="9"/>
  <c r="G290" i="9"/>
  <c r="G305" i="9"/>
  <c r="G312" i="9"/>
  <c r="G316" i="9"/>
  <c r="G327" i="9"/>
  <c r="G331" i="9"/>
  <c r="G356" i="9"/>
  <c r="G367" i="9"/>
  <c r="G378" i="9"/>
  <c r="G382" i="9"/>
  <c r="G393" i="9"/>
  <c r="G400" i="9"/>
  <c r="G404" i="9"/>
  <c r="AQ390" i="8"/>
  <c r="G390" i="8" s="1"/>
  <c r="AV384" i="8"/>
  <c r="L384" i="8" s="1"/>
  <c r="AX31" i="8"/>
  <c r="AQ296" i="8"/>
  <c r="G296" i="8" s="1"/>
  <c r="AZ203" i="8"/>
  <c r="P203" i="8" s="1"/>
  <c r="AS182" i="8"/>
  <c r="I182" i="8" s="1"/>
  <c r="AS71" i="8"/>
  <c r="I71" i="8" s="1"/>
  <c r="AQ44" i="8"/>
  <c r="G44" i="8" s="1"/>
  <c r="AS94" i="8"/>
  <c r="I94" i="8" s="1"/>
  <c r="AY43" i="8"/>
  <c r="O43" i="8" s="1"/>
  <c r="BA382" i="8"/>
  <c r="Q382" i="8" s="1"/>
  <c r="AX30" i="8"/>
  <c r="N30" i="8" s="1"/>
  <c r="AS275" i="8"/>
  <c r="I275" i="8" s="1"/>
  <c r="AW238" i="8"/>
  <c r="M238" i="8" s="1"/>
  <c r="AR214" i="8"/>
  <c r="H214" i="8" s="1"/>
  <c r="G205" i="9"/>
  <c r="G220" i="9"/>
  <c r="G231" i="9"/>
  <c r="G235" i="9"/>
  <c r="G246" i="9"/>
  <c r="G313" i="9"/>
  <c r="G353" i="9"/>
  <c r="G360" i="9"/>
  <c r="G409" i="9"/>
  <c r="AQ309" i="8"/>
  <c r="G309" i="8" s="1"/>
  <c r="AQ301" i="8"/>
  <c r="G301" i="8" s="1"/>
  <c r="AS383" i="8"/>
  <c r="I383" i="8" s="1"/>
  <c r="AR391" i="8"/>
  <c r="AQ267" i="8"/>
  <c r="G267" i="8" s="1"/>
  <c r="AQ194" i="8"/>
  <c r="G194" i="8" s="1"/>
  <c r="AS60" i="8"/>
  <c r="I60" i="8" s="1"/>
  <c r="AQ290" i="8"/>
  <c r="G290" i="8" s="1"/>
  <c r="AR330" i="8"/>
  <c r="H330" i="8" s="1"/>
  <c r="AQ257" i="8"/>
  <c r="G257" i="8" s="1"/>
  <c r="AS289" i="8"/>
  <c r="I289" i="8" s="1"/>
  <c r="AZ125" i="8"/>
  <c r="P125" i="8" s="1"/>
  <c r="BA302" i="8"/>
  <c r="Q302" i="8" s="1"/>
  <c r="V36" i="8"/>
  <c r="AR197" i="8"/>
  <c r="H197" i="8" s="1"/>
  <c r="AQ91" i="8"/>
  <c r="G91" i="8" s="1"/>
  <c r="AS55" i="8"/>
  <c r="I55" i="8" s="1"/>
  <c r="AQ402" i="8"/>
  <c r="G402" i="8" s="1"/>
  <c r="AX397" i="8"/>
  <c r="N397" i="8" s="1"/>
  <c r="AQ391" i="8"/>
  <c r="G391" i="8" s="1"/>
  <c r="AQ367" i="8"/>
  <c r="G367" i="8" s="1"/>
  <c r="AS115" i="8"/>
  <c r="I115" i="8" s="1"/>
  <c r="AS88" i="8"/>
  <c r="I88" i="8" s="1"/>
  <c r="AS29" i="8"/>
  <c r="I29" i="8" s="1"/>
  <c r="AQ17" i="8"/>
  <c r="G17" i="8" s="1"/>
  <c r="G2" i="9"/>
  <c r="G6" i="9"/>
  <c r="G10" i="9"/>
  <c r="G14" i="9"/>
  <c r="G18" i="9"/>
  <c r="G22" i="9"/>
  <c r="G26" i="9"/>
  <c r="G30" i="9"/>
  <c r="G34" i="9"/>
  <c r="G42" i="9"/>
  <c r="G46" i="9"/>
  <c r="G54" i="9"/>
  <c r="G58" i="9"/>
  <c r="G66" i="9"/>
  <c r="G70" i="9"/>
  <c r="G78" i="9"/>
  <c r="G82" i="9"/>
  <c r="G90" i="9"/>
  <c r="G94" i="9"/>
  <c r="G102" i="9"/>
  <c r="G106" i="9"/>
  <c r="G114" i="9"/>
  <c r="G118" i="9"/>
  <c r="G126" i="9"/>
  <c r="G130" i="9"/>
  <c r="G138" i="9"/>
  <c r="G142" i="9"/>
  <c r="G150" i="9"/>
  <c r="G154" i="9"/>
  <c r="G162" i="9"/>
  <c r="G174" i="9"/>
  <c r="G186" i="9"/>
  <c r="G198" i="9"/>
  <c r="G202" i="9"/>
  <c r="G254" i="9"/>
  <c r="G269" i="9"/>
  <c r="G276" i="9"/>
  <c r="G280" i="9"/>
  <c r="G299" i="9"/>
  <c r="G306" i="9"/>
  <c r="G310" i="9"/>
  <c r="G361" i="9"/>
  <c r="G405" i="9"/>
  <c r="G410" i="9"/>
  <c r="AS392" i="8"/>
  <c r="I392" i="8" s="1"/>
  <c r="AS164" i="8"/>
  <c r="I164" i="8" s="1"/>
  <c r="AR82" i="8"/>
  <c r="H82" i="8" s="1"/>
  <c r="AQ59" i="8"/>
  <c r="G59" i="8" s="1"/>
  <c r="AP402" i="8"/>
  <c r="F402" i="8" s="1"/>
  <c r="AR385" i="8"/>
  <c r="H385" i="8" s="1"/>
  <c r="AS300" i="8"/>
  <c r="I300" i="8" s="1"/>
  <c r="AS259" i="8"/>
  <c r="I259" i="8" s="1"/>
  <c r="AU197" i="8"/>
  <c r="K197" i="8" s="1"/>
  <c r="AR145" i="8"/>
  <c r="H145" i="8" s="1"/>
  <c r="AR124" i="8"/>
  <c r="H124" i="8" s="1"/>
  <c r="G206" i="9"/>
  <c r="G217" i="9"/>
  <c r="G221" i="9"/>
  <c r="G232" i="9"/>
  <c r="G236" i="9"/>
  <c r="G247" i="9"/>
  <c r="G262" i="9"/>
  <c r="G314" i="9"/>
  <c r="G376" i="9"/>
  <c r="AQ354" i="8"/>
  <c r="G354" i="8" s="1"/>
  <c r="G35" i="9"/>
  <c r="G47" i="9"/>
  <c r="G59" i="9"/>
  <c r="G71" i="9"/>
  <c r="G83" i="9"/>
  <c r="G95" i="9"/>
  <c r="G107" i="9"/>
  <c r="G119" i="9"/>
  <c r="G131" i="9"/>
  <c r="G143" i="9"/>
  <c r="G155" i="9"/>
  <c r="G163" i="9"/>
  <c r="G167" i="9"/>
  <c r="G175" i="9"/>
  <c r="G179" i="9"/>
  <c r="G187" i="9"/>
  <c r="G191" i="9"/>
  <c r="G199" i="9"/>
  <c r="G210" i="9"/>
  <c r="G277" i="9"/>
  <c r="G292" i="9"/>
  <c r="G303" i="9"/>
  <c r="G307" i="9"/>
  <c r="G318" i="9"/>
  <c r="G325" i="9"/>
  <c r="G329" i="9"/>
  <c r="G341" i="9"/>
  <c r="G345" i="9"/>
  <c r="G358" i="9"/>
  <c r="G365" i="9"/>
  <c r="G380" i="9"/>
  <c r="G391" i="9"/>
  <c r="G402" i="9"/>
  <c r="G406" i="9"/>
  <c r="AS268" i="8"/>
  <c r="I268" i="8" s="1"/>
  <c r="AS184" i="8"/>
  <c r="I184" i="8" s="1"/>
  <c r="G218" i="9"/>
  <c r="G233" i="9"/>
  <c r="G240" i="9"/>
  <c r="G244" i="9"/>
  <c r="G263" i="9"/>
  <c r="G270" i="9"/>
  <c r="G274" i="9"/>
  <c r="G333" i="9"/>
  <c r="G338" i="9"/>
  <c r="G388" i="9"/>
  <c r="G413" i="9"/>
  <c r="E164" i="4"/>
  <c r="F240" i="5" s="1"/>
  <c r="AP405" i="8"/>
  <c r="F405" i="8" s="1"/>
  <c r="AV382" i="8"/>
  <c r="L382" i="8" s="1"/>
  <c r="AQ34" i="8"/>
  <c r="G34" i="8" s="1"/>
  <c r="AS49" i="8"/>
  <c r="I49" i="8" s="1"/>
  <c r="AP396" i="8"/>
  <c r="F396" i="8" s="1"/>
  <c r="AR386" i="8"/>
  <c r="H386" i="8" s="1"/>
  <c r="AX380" i="8"/>
  <c r="AQ360" i="8"/>
  <c r="G360" i="8" s="1"/>
  <c r="AR269" i="8"/>
  <c r="H269" i="8" s="1"/>
  <c r="AR261" i="8"/>
  <c r="AS255" i="8"/>
  <c r="I255" i="8" s="1"/>
  <c r="AS219" i="8"/>
  <c r="I219" i="8" s="1"/>
  <c r="AQ213" i="8"/>
  <c r="G213" i="8" s="1"/>
  <c r="AQ184" i="8"/>
  <c r="G184" i="8" s="1"/>
  <c r="AR147" i="8"/>
  <c r="H147" i="8" s="1"/>
  <c r="AR48" i="8"/>
  <c r="H48" i="8" s="1"/>
  <c r="AQ31" i="8"/>
  <c r="G31" i="8" s="1"/>
  <c r="AQ28" i="8"/>
  <c r="G28" i="8" s="1"/>
  <c r="G44" i="9"/>
  <c r="G56" i="9"/>
  <c r="G68" i="9"/>
  <c r="G80" i="9"/>
  <c r="G92" i="9"/>
  <c r="G104" i="9"/>
  <c r="G116" i="9"/>
  <c r="G128" i="9"/>
  <c r="G140" i="9"/>
  <c r="G152" i="9"/>
  <c r="G160" i="9"/>
  <c r="G164" i="9"/>
  <c r="G172" i="9"/>
  <c r="G176" i="9"/>
  <c r="G184" i="9"/>
  <c r="G188" i="9"/>
  <c r="G196" i="9"/>
  <c r="G200" i="9"/>
  <c r="G211" i="9"/>
  <c r="G226" i="9"/>
  <c r="G278" i="9"/>
  <c r="G289" i="9"/>
  <c r="G293" i="9"/>
  <c r="G304" i="9"/>
  <c r="G308" i="9"/>
  <c r="G319" i="9"/>
  <c r="G326" i="9"/>
  <c r="G342" i="9"/>
  <c r="G355" i="9"/>
  <c r="G366" i="9"/>
  <c r="G370" i="9"/>
  <c r="G392" i="9"/>
  <c r="G403" i="9"/>
  <c r="E163" i="4"/>
  <c r="F239" i="5" s="1"/>
  <c r="S251" i="8" s="1"/>
  <c r="AW240" i="8"/>
  <c r="M240" i="8" s="1"/>
  <c r="AS213" i="8"/>
  <c r="I213" i="8" s="1"/>
  <c r="AS171" i="8"/>
  <c r="I171" i="8" s="1"/>
  <c r="AR398" i="8"/>
  <c r="H398" i="8" s="1"/>
  <c r="AQ392" i="8"/>
  <c r="G392" i="8" s="1"/>
  <c r="AX349" i="8"/>
  <c r="N349" i="8" s="1"/>
  <c r="AQ314" i="8"/>
  <c r="G314" i="8" s="1"/>
  <c r="AR66" i="8"/>
  <c r="H66" i="8" s="1"/>
  <c r="AS58" i="8"/>
  <c r="I58" i="8" s="1"/>
  <c r="G241" i="9"/>
  <c r="G256" i="9"/>
  <c r="G267" i="9"/>
  <c r="G271" i="9"/>
  <c r="G282" i="9"/>
  <c r="G334" i="9"/>
  <c r="G374" i="9"/>
  <c r="G385" i="9"/>
  <c r="AX392" i="5"/>
  <c r="AX350" i="5"/>
  <c r="AY301" i="5"/>
  <c r="AP190" i="5"/>
  <c r="AD17" i="8"/>
  <c r="AP342" i="5"/>
  <c r="AD342" i="8"/>
  <c r="AP342" i="8" s="1"/>
  <c r="F342" i="8" s="1"/>
  <c r="AX400" i="8"/>
  <c r="N400" i="8" s="1"/>
  <c r="AS401" i="5"/>
  <c r="AY390" i="5"/>
  <c r="AW382" i="8"/>
  <c r="M382" i="8" s="1"/>
  <c r="U4" i="4" a="1"/>
  <c r="U4" i="4" s="1"/>
  <c r="AD174" i="5" s="1"/>
  <c r="AA196" i="8" s="1"/>
  <c r="AY196" i="8" s="1"/>
  <c r="O196" i="8" s="1"/>
  <c r="AX350" i="8"/>
  <c r="N350" i="8" s="1"/>
  <c r="AQ58" i="8"/>
  <c r="G58" i="8" s="1"/>
  <c r="AR274" i="8"/>
  <c r="H274" i="8" s="1"/>
  <c r="AQ353" i="8"/>
  <c r="G353" i="8" s="1"/>
  <c r="AQ93" i="8"/>
  <c r="G93" i="8" s="1"/>
  <c r="AQ404" i="8"/>
  <c r="G404" i="8" s="1"/>
  <c r="AS124" i="8"/>
  <c r="I124" i="8" s="1"/>
  <c r="AQ249" i="8"/>
  <c r="G249" i="8" s="1"/>
  <c r="AQ68" i="8"/>
  <c r="G68" i="8" s="1"/>
  <c r="AS44" i="8"/>
  <c r="I44" i="8" s="1"/>
  <c r="AZ189" i="8"/>
  <c r="P189" i="8" s="1"/>
  <c r="AX388" i="8"/>
  <c r="N388" i="8" s="1"/>
  <c r="AR337" i="8"/>
  <c r="H337" i="8" s="1"/>
  <c r="AS299" i="8"/>
  <c r="I299" i="8" s="1"/>
  <c r="AQ284" i="8"/>
  <c r="G284" i="8" s="1"/>
  <c r="AS211" i="8"/>
  <c r="I211" i="8" s="1"/>
  <c r="AP401" i="8"/>
  <c r="AR329" i="8"/>
  <c r="H329" i="8" s="1"/>
  <c r="AX323" i="8"/>
  <c r="N323" i="8" s="1"/>
  <c r="AQ321" i="8"/>
  <c r="G321" i="8" s="1"/>
  <c r="AR318" i="8"/>
  <c r="H318" i="8" s="1"/>
  <c r="AQ308" i="8"/>
  <c r="G308" i="8" s="1"/>
  <c r="AQ259" i="8"/>
  <c r="G259" i="8" s="1"/>
  <c r="AQ145" i="8"/>
  <c r="G145" i="8" s="1"/>
  <c r="AS75" i="8"/>
  <c r="I75" i="8" s="1"/>
  <c r="AC70" i="2"/>
  <c r="AQ100" i="8"/>
  <c r="G100" i="8" s="1"/>
  <c r="AX90" i="8"/>
  <c r="N90" i="8" s="1"/>
  <c r="AS17" i="8"/>
  <c r="I17" i="8" s="1"/>
  <c r="AU37" i="8"/>
  <c r="K37" i="8" s="1"/>
  <c r="AU387" i="8"/>
  <c r="K387" i="8" s="1"/>
  <c r="AX337" i="8"/>
  <c r="N337" i="8" s="1"/>
  <c r="AS7" i="8"/>
  <c r="I7" i="8" s="1"/>
  <c r="AQ101" i="8"/>
  <c r="G101" i="8" s="1"/>
  <c r="AZ273" i="8"/>
  <c r="P273" i="8" s="1"/>
  <c r="AQ208" i="8"/>
  <c r="G208" i="8" s="1"/>
  <c r="AZ148" i="8"/>
  <c r="P148" i="8" s="1"/>
  <c r="AY398" i="8"/>
  <c r="O398" i="8" s="1"/>
  <c r="AR335" i="8"/>
  <c r="H335" i="8" s="1"/>
  <c r="AS249" i="8"/>
  <c r="I249" i="8" s="1"/>
  <c r="AR173" i="8"/>
  <c r="H173" i="8" s="1"/>
  <c r="G149" i="8"/>
  <c r="AZ146" i="8"/>
  <c r="P146" i="8" s="1"/>
  <c r="AQ66" i="8"/>
  <c r="G66" i="8" s="1"/>
  <c r="AQ383" i="8"/>
  <c r="G383" i="8" s="1"/>
  <c r="AQ303" i="8"/>
  <c r="G303" i="8" s="1"/>
  <c r="AS210" i="8"/>
  <c r="I210" i="8" s="1"/>
  <c r="AX414" i="5"/>
  <c r="AS395" i="8"/>
  <c r="I395" i="8" s="1"/>
  <c r="AR307" i="8"/>
  <c r="H307" i="8" s="1"/>
  <c r="AQ287" i="8"/>
  <c r="G287" i="8" s="1"/>
  <c r="AR194" i="8"/>
  <c r="H194" i="8" s="1"/>
  <c r="AQ122" i="8"/>
  <c r="G122" i="8" s="1"/>
  <c r="AR340" i="8"/>
  <c r="H340" i="8" s="1"/>
  <c r="AX335" i="8"/>
  <c r="N335" i="8" s="1"/>
  <c r="AR317" i="8"/>
  <c r="H317" i="8" s="1"/>
  <c r="AQ310" i="8"/>
  <c r="G310" i="8" s="1"/>
  <c r="AS295" i="8"/>
  <c r="I295" i="8" s="1"/>
  <c r="AS290" i="8"/>
  <c r="I290" i="8" s="1"/>
  <c r="AQ255" i="8"/>
  <c r="G255" i="8" s="1"/>
  <c r="AQ215" i="8"/>
  <c r="G215" i="8" s="1"/>
  <c r="AS176" i="8"/>
  <c r="I176" i="8" s="1"/>
  <c r="AS86" i="8"/>
  <c r="I86" i="8" s="1"/>
  <c r="AS79" i="8"/>
  <c r="I79" i="8" s="1"/>
  <c r="AS74" i="8"/>
  <c r="I74" i="8" s="1"/>
  <c r="AR323" i="8"/>
  <c r="H323" i="8" s="1"/>
  <c r="AQ304" i="8"/>
  <c r="G304" i="8" s="1"/>
  <c r="AR271" i="8"/>
  <c r="H271" i="8" s="1"/>
  <c r="AS160" i="8"/>
  <c r="I160" i="8" s="1"/>
  <c r="AQ158" i="8"/>
  <c r="G158" i="8" s="1"/>
  <c r="AR134" i="8"/>
  <c r="H134" i="8" s="1"/>
  <c r="AX342" i="8"/>
  <c r="N342" i="8" s="1"/>
  <c r="AR327" i="8"/>
  <c r="H327" i="8" s="1"/>
  <c r="AS302" i="8"/>
  <c r="I302" i="8" s="1"/>
  <c r="AQ275" i="8"/>
  <c r="G275" i="8" s="1"/>
  <c r="AS271" i="8"/>
  <c r="I271" i="8" s="1"/>
  <c r="AR263" i="8"/>
  <c r="H263" i="8" s="1"/>
  <c r="AS250" i="8"/>
  <c r="I250" i="8" s="1"/>
  <c r="AS162" i="8"/>
  <c r="I162" i="8" s="1"/>
  <c r="U235" i="4" a="1"/>
  <c r="U235" i="4" s="1"/>
  <c r="AD253" i="5" s="1"/>
  <c r="AX253" i="5" s="1"/>
  <c r="AS385" i="8"/>
  <c r="I385" i="8" s="1"/>
  <c r="AP380" i="8"/>
  <c r="F380" i="8" s="1"/>
  <c r="AQ374" i="8"/>
  <c r="G374" i="8" s="1"/>
  <c r="AP399" i="8"/>
  <c r="F399" i="8" s="1"/>
  <c r="AQ395" i="8"/>
  <c r="G395" i="8" s="1"/>
  <c r="AS391" i="8"/>
  <c r="I391" i="8" s="1"/>
  <c r="AQ388" i="8"/>
  <c r="G388" i="8" s="1"/>
  <c r="AW385" i="8"/>
  <c r="M385" i="8" s="1"/>
  <c r="AQ380" i="8"/>
  <c r="G380" i="8" s="1"/>
  <c r="AQ363" i="8"/>
  <c r="G363" i="8" s="1"/>
  <c r="AQ351" i="8"/>
  <c r="G351" i="8" s="1"/>
  <c r="AR142" i="8"/>
  <c r="H142" i="8" s="1"/>
  <c r="AQ94" i="8"/>
  <c r="G94" i="8" s="1"/>
  <c r="AS65" i="8"/>
  <c r="I65" i="8" s="1"/>
  <c r="AZ144" i="8"/>
  <c r="P144" i="8" s="1"/>
  <c r="AS388" i="8"/>
  <c r="I388" i="8" s="1"/>
  <c r="AR316" i="8"/>
  <c r="H316" i="8" s="1"/>
  <c r="U244" i="4" a="1"/>
  <c r="U244" i="4" s="1"/>
  <c r="AD219" i="5" s="1"/>
  <c r="AX219" i="5" s="1"/>
  <c r="AL196" i="8"/>
  <c r="AD344" i="8"/>
  <c r="AP344" i="8" s="1"/>
  <c r="F344" i="8" s="1"/>
  <c r="AP344" i="5"/>
  <c r="AZ384" i="8"/>
  <c r="P384" i="8" s="1"/>
  <c r="AZ254" i="8"/>
  <c r="P254" i="8" s="1"/>
  <c r="BA31" i="8"/>
  <c r="Q31" i="8" s="1"/>
  <c r="AQ406" i="8"/>
  <c r="G406" i="8" s="1"/>
  <c r="AP392" i="8"/>
  <c r="F392" i="8" s="1"/>
  <c r="AU386" i="8"/>
  <c r="K386" i="8" s="1"/>
  <c r="AQ368" i="8"/>
  <c r="G368" i="8" s="1"/>
  <c r="AS191" i="8"/>
  <c r="I191" i="8" s="1"/>
  <c r="AX402" i="8"/>
  <c r="N402" i="8" s="1"/>
  <c r="AX395" i="8"/>
  <c r="N395" i="8" s="1"/>
  <c r="AS384" i="8"/>
  <c r="I384" i="8" s="1"/>
  <c r="AT380" i="8"/>
  <c r="J380" i="8" s="1"/>
  <c r="AQ376" i="8"/>
  <c r="G376" i="8" s="1"/>
  <c r="AQ364" i="8"/>
  <c r="G364" i="8" s="1"/>
  <c r="AQ352" i="8"/>
  <c r="G352" i="8" s="1"/>
  <c r="AR349" i="8"/>
  <c r="H349" i="8" s="1"/>
  <c r="AQ272" i="8"/>
  <c r="G272" i="8" s="1"/>
  <c r="AQ248" i="8"/>
  <c r="G248" i="8" s="1"/>
  <c r="AS244" i="8"/>
  <c r="I244" i="8" s="1"/>
  <c r="BA232" i="8"/>
  <c r="Q232" i="8" s="1"/>
  <c r="AS224" i="8"/>
  <c r="I224" i="8" s="1"/>
  <c r="AQ216" i="8"/>
  <c r="G216" i="8" s="1"/>
  <c r="AR213" i="8"/>
  <c r="H213" i="8" s="1"/>
  <c r="AS140" i="8"/>
  <c r="I140" i="8" s="1"/>
  <c r="AS134" i="8"/>
  <c r="I134" i="8" s="1"/>
  <c r="AS127" i="8"/>
  <c r="I127" i="8" s="1"/>
  <c r="AR113" i="8"/>
  <c r="H113" i="8" s="1"/>
  <c r="AS103" i="8"/>
  <c r="I103" i="8" s="1"/>
  <c r="AR83" i="8"/>
  <c r="H83" i="8" s="1"/>
  <c r="AQ71" i="8"/>
  <c r="G71" i="8" s="1"/>
  <c r="AR63" i="8"/>
  <c r="H63" i="8" s="1"/>
  <c r="AS5" i="8"/>
  <c r="I5" i="8" s="1"/>
  <c r="AY31" i="8"/>
  <c r="O31" i="8" s="1"/>
  <c r="BA385" i="8"/>
  <c r="Q385" i="8" s="1"/>
  <c r="AP389" i="8"/>
  <c r="F389" i="8" s="1"/>
  <c r="AB346" i="8"/>
  <c r="AQ307" i="8"/>
  <c r="G307" i="8" s="1"/>
  <c r="AQ240" i="8"/>
  <c r="G240" i="8" s="1"/>
  <c r="AS132" i="8"/>
  <c r="I132" i="8" s="1"/>
  <c r="AQ88" i="8"/>
  <c r="AR387" i="8"/>
  <c r="H387" i="8" s="1"/>
  <c r="AQ322" i="8"/>
  <c r="G322" i="8" s="1"/>
  <c r="AR198" i="8"/>
  <c r="H198" i="8" s="1"/>
  <c r="AS178" i="8"/>
  <c r="I178" i="8" s="1"/>
  <c r="AR127" i="8"/>
  <c r="H127" i="8" s="1"/>
  <c r="AY386" i="8"/>
  <c r="O386" i="8" s="1"/>
  <c r="AS267" i="8"/>
  <c r="I267" i="8" s="1"/>
  <c r="AQ260" i="8"/>
  <c r="G260" i="8" s="1"/>
  <c r="AQ173" i="8"/>
  <c r="G173" i="8" s="1"/>
  <c r="AQ161" i="8"/>
  <c r="G161" i="8" s="1"/>
  <c r="AX386" i="8"/>
  <c r="N386" i="8" s="1"/>
  <c r="AX334" i="8"/>
  <c r="N334" i="8" s="1"/>
  <c r="AZ100" i="8"/>
  <c r="P100" i="8" s="1"/>
  <c r="AZ383" i="8"/>
  <c r="P383" i="8" s="1"/>
  <c r="T35" i="4" a="1"/>
  <c r="T35" i="4" s="1"/>
  <c r="AC173" i="5" s="1"/>
  <c r="AX173" i="5" s="1"/>
  <c r="AY383" i="8"/>
  <c r="O383" i="8" s="1"/>
  <c r="AR304" i="8"/>
  <c r="H304" i="8" s="1"/>
  <c r="AQ167" i="8"/>
  <c r="G167" i="8" s="1"/>
  <c r="AS11" i="8"/>
  <c r="I11" i="8" s="1"/>
  <c r="AY240" i="5"/>
  <c r="AQ200" i="8"/>
  <c r="G200" i="8" s="1"/>
  <c r="AR192" i="8"/>
  <c r="H192" i="8" s="1"/>
  <c r="AS156" i="8"/>
  <c r="I156" i="8" s="1"/>
  <c r="AS406" i="8"/>
  <c r="I406" i="8" s="1"/>
  <c r="AX396" i="8"/>
  <c r="N396" i="8" s="1"/>
  <c r="AS238" i="8"/>
  <c r="I238" i="8" s="1"/>
  <c r="AS208" i="8"/>
  <c r="I208" i="8" s="1"/>
  <c r="AQ198" i="8"/>
  <c r="G198" i="8" s="1"/>
  <c r="AS183" i="8"/>
  <c r="I183" i="8" s="1"/>
  <c r="AQ142" i="8"/>
  <c r="G142" i="8" s="1"/>
  <c r="AR380" i="8"/>
  <c r="H380" i="8" s="1"/>
  <c r="AR383" i="8"/>
  <c r="H383" i="8" s="1"/>
  <c r="AX324" i="8"/>
  <c r="N324" i="8" s="1"/>
  <c r="AQ297" i="8"/>
  <c r="G297" i="8" s="1"/>
  <c r="AQ289" i="8"/>
  <c r="G289" i="8" s="1"/>
  <c r="AR158" i="8"/>
  <c r="H158" i="8" s="1"/>
  <c r="AQ33" i="8"/>
  <c r="G33" i="8" s="1"/>
  <c r="AQ180" i="8"/>
  <c r="G180" i="8" s="1"/>
  <c r="AR392" i="8"/>
  <c r="H392" i="8" s="1"/>
  <c r="AQ377" i="8"/>
  <c r="G377" i="8" s="1"/>
  <c r="AQ371" i="8"/>
  <c r="G371" i="8" s="1"/>
  <c r="AQ365" i="8"/>
  <c r="G365" i="8" s="1"/>
  <c r="AX341" i="8"/>
  <c r="N341" i="8" s="1"/>
  <c r="AS283" i="8"/>
  <c r="I283" i="8" s="1"/>
  <c r="AW252" i="8"/>
  <c r="M252" i="8" s="1"/>
  <c r="AQ245" i="8"/>
  <c r="G245" i="8" s="1"/>
  <c r="AR191" i="8"/>
  <c r="H191" i="8" s="1"/>
  <c r="AQ141" i="8"/>
  <c r="G141" i="8" s="1"/>
  <c r="AS110" i="8"/>
  <c r="I110" i="8" s="1"/>
  <c r="AR68" i="8"/>
  <c r="H68" i="8" s="1"/>
  <c r="AQ64" i="8"/>
  <c r="G64" i="8" s="1"/>
  <c r="AS37" i="8"/>
  <c r="I37" i="8" s="1"/>
  <c r="AS20" i="8"/>
  <c r="I20" i="8" s="1"/>
  <c r="AF66" i="2"/>
  <c r="AP406" i="8"/>
  <c r="F406" i="8" s="1"/>
  <c r="AU384" i="8"/>
  <c r="K384" i="8" s="1"/>
  <c r="AQ288" i="8"/>
  <c r="G288" i="8" s="1"/>
  <c r="AS265" i="8"/>
  <c r="I265" i="8" s="1"/>
  <c r="AQ220" i="8"/>
  <c r="G220" i="8" s="1"/>
  <c r="AS135" i="8"/>
  <c r="I135" i="8" s="1"/>
  <c r="AY410" i="5"/>
  <c r="AX407" i="5"/>
  <c r="AS400" i="5"/>
  <c r="AS399" i="5"/>
  <c r="AR397" i="5"/>
  <c r="AS395" i="5"/>
  <c r="AQ386" i="8"/>
  <c r="G386" i="8" s="1"/>
  <c r="AT384" i="8"/>
  <c r="J384" i="8" s="1"/>
  <c r="AU383" i="8"/>
  <c r="K383" i="8" s="1"/>
  <c r="AW380" i="8"/>
  <c r="M380" i="8" s="1"/>
  <c r="AR341" i="8"/>
  <c r="H341" i="8" s="1"/>
  <c r="AX332" i="8"/>
  <c r="N332" i="8" s="1"/>
  <c r="AQ299" i="8"/>
  <c r="G299" i="8" s="1"/>
  <c r="AS287" i="8"/>
  <c r="I287" i="8" s="1"/>
  <c r="AQ37" i="8"/>
  <c r="G37" i="8" s="1"/>
  <c r="AQ32" i="8"/>
  <c r="AQ20" i="8"/>
  <c r="G20" i="8" s="1"/>
  <c r="AQ11" i="8"/>
  <c r="G11" i="8" s="1"/>
  <c r="AI59" i="2"/>
  <c r="AG60" i="2"/>
  <c r="G86" i="8"/>
  <c r="AQ399" i="8"/>
  <c r="G399" i="8" s="1"/>
  <c r="AU388" i="8"/>
  <c r="K388" i="8" s="1"/>
  <c r="AP386" i="8"/>
  <c r="F386" i="8" s="1"/>
  <c r="AQ359" i="8"/>
  <c r="G359" i="8" s="1"/>
  <c r="AQ264" i="8"/>
  <c r="G264" i="8" s="1"/>
  <c r="AS261" i="8"/>
  <c r="I261" i="8" s="1"/>
  <c r="AQ177" i="8"/>
  <c r="G177" i="8" s="1"/>
  <c r="AQ121" i="8"/>
  <c r="G121" i="8" s="1"/>
  <c r="AQ55" i="8"/>
  <c r="G55" i="8" s="1"/>
  <c r="AP37" i="8"/>
  <c r="F37" i="8" s="1"/>
  <c r="AY380" i="8"/>
  <c r="O380" i="8" s="1"/>
  <c r="AS62" i="8"/>
  <c r="I62" i="8" s="1"/>
  <c r="AQ405" i="8"/>
  <c r="G405" i="8" s="1"/>
  <c r="AU402" i="8"/>
  <c r="K402" i="8" s="1"/>
  <c r="AU391" i="8"/>
  <c r="K391" i="8" s="1"/>
  <c r="AP384" i="8"/>
  <c r="F384" i="8" s="1"/>
  <c r="AS380" i="8"/>
  <c r="I380" i="8" s="1"/>
  <c r="AQ344" i="8"/>
  <c r="G344" i="8" s="1"/>
  <c r="AX336" i="8"/>
  <c r="N336" i="8" s="1"/>
  <c r="AR332" i="8"/>
  <c r="H332" i="8" s="1"/>
  <c r="AQ320" i="8"/>
  <c r="G320" i="8" s="1"/>
  <c r="AR314" i="8"/>
  <c r="H314" i="8" s="1"/>
  <c r="AR310" i="8"/>
  <c r="H310" i="8" s="1"/>
  <c r="AS258" i="8"/>
  <c r="I258" i="8" s="1"/>
  <c r="AQ140" i="8"/>
  <c r="G140" i="8" s="1"/>
  <c r="AQ130" i="8"/>
  <c r="G130" i="8" s="1"/>
  <c r="AS100" i="8"/>
  <c r="I100" i="8" s="1"/>
  <c r="AF68" i="2"/>
  <c r="AQ332" i="8"/>
  <c r="G332" i="8" s="1"/>
  <c r="AX327" i="8"/>
  <c r="N327" i="8" s="1"/>
  <c r="AQ70" i="8"/>
  <c r="G70" i="8" s="1"/>
  <c r="AG68" i="2"/>
  <c r="AY300" i="5"/>
  <c r="AN391" i="5"/>
  <c r="U17" i="4" a="1"/>
  <c r="U17" i="4" s="1"/>
  <c r="AD184" i="5" s="1"/>
  <c r="AX184" i="5" s="1"/>
  <c r="AS66" i="8"/>
  <c r="I66" i="8" s="1"/>
  <c r="AW383" i="8"/>
  <c r="M383" i="8" s="1"/>
  <c r="AR382" i="8"/>
  <c r="H382" i="8" s="1"/>
  <c r="AR348" i="8"/>
  <c r="H348" i="8" s="1"/>
  <c r="AQ199" i="8"/>
  <c r="G199" i="8" s="1"/>
  <c r="AS146" i="8"/>
  <c r="I146" i="8" s="1"/>
  <c r="AQ90" i="8"/>
  <c r="G90" i="8" s="1"/>
  <c r="AX385" i="8"/>
  <c r="N385" i="8" s="1"/>
  <c r="AT382" i="8"/>
  <c r="J382" i="8" s="1"/>
  <c r="AS236" i="8"/>
  <c r="I236" i="8" s="1"/>
  <c r="AR18" i="8"/>
  <c r="H18" i="8" s="1"/>
  <c r="AS200" i="8"/>
  <c r="I200" i="8" s="1"/>
  <c r="AX398" i="8"/>
  <c r="N398" i="8" s="1"/>
  <c r="AQ341" i="8"/>
  <c r="G341" i="8" s="1"/>
  <c r="AR90" i="8"/>
  <c r="H90" i="8" s="1"/>
  <c r="AU406" i="8"/>
  <c r="K406" i="8" s="1"/>
  <c r="AU398" i="8"/>
  <c r="K398" i="8" s="1"/>
  <c r="AX392" i="8"/>
  <c r="N392" i="8" s="1"/>
  <c r="AX390" i="8"/>
  <c r="N390" i="8" s="1"/>
  <c r="AS253" i="8"/>
  <c r="I253" i="8" s="1"/>
  <c r="AY225" i="8"/>
  <c r="O225" i="8" s="1"/>
  <c r="AS218" i="8"/>
  <c r="I218" i="8" s="1"/>
  <c r="AQ214" i="8"/>
  <c r="G214" i="8" s="1"/>
  <c r="AS128" i="8"/>
  <c r="I128" i="8" s="1"/>
  <c r="AS89" i="8"/>
  <c r="I89" i="8" s="1"/>
  <c r="AQ82" i="8"/>
  <c r="G82" i="8" s="1"/>
  <c r="AY37" i="8"/>
  <c r="O37" i="8" s="1"/>
  <c r="AR30" i="8"/>
  <c r="H30" i="8" s="1"/>
  <c r="AQ26" i="8"/>
  <c r="G26" i="8" s="1"/>
  <c r="AQ8" i="8"/>
  <c r="G8" i="8" s="1"/>
  <c r="P253" i="8"/>
  <c r="BA383" i="8"/>
  <c r="Q383" i="8" s="1"/>
  <c r="AS390" i="8"/>
  <c r="I390" i="8" s="1"/>
  <c r="AX347" i="8"/>
  <c r="AQ316" i="8"/>
  <c r="G316" i="8" s="1"/>
  <c r="AS173" i="8"/>
  <c r="I173" i="8" s="1"/>
  <c r="BA380" i="8"/>
  <c r="Q380" i="8" s="1"/>
  <c r="AR292" i="8"/>
  <c r="H292" i="8" s="1"/>
  <c r="BA384" i="8"/>
  <c r="Q384" i="8" s="1"/>
  <c r="G88" i="8"/>
  <c r="AR308" i="8"/>
  <c r="H308" i="8" s="1"/>
  <c r="AS145" i="8"/>
  <c r="I145" i="8" s="1"/>
  <c r="AK346" i="8"/>
  <c r="AE346" i="8"/>
  <c r="AL346" i="8"/>
  <c r="R346" i="8"/>
  <c r="D346" i="8"/>
  <c r="S346" i="8"/>
  <c r="T346" i="8"/>
  <c r="AR346" i="8" s="1"/>
  <c r="Z346" i="8"/>
  <c r="V346" i="8"/>
  <c r="E346" i="8"/>
  <c r="AQ191" i="8"/>
  <c r="G191" i="8" s="1"/>
  <c r="AD277" i="8"/>
  <c r="AP269" i="5"/>
  <c r="AQ152" i="8"/>
  <c r="G152" i="8" s="1"/>
  <c r="AZ150" i="8"/>
  <c r="P150" i="8" s="1"/>
  <c r="H249" i="8"/>
  <c r="AX384" i="8"/>
  <c r="N384" i="8" s="1"/>
  <c r="AQ261" i="8"/>
  <c r="G261" i="8" s="1"/>
  <c r="AU90" i="8"/>
  <c r="K90" i="8" s="1"/>
  <c r="G62" i="8"/>
  <c r="AQ317" i="8"/>
  <c r="G317" i="8" s="1"/>
  <c r="AS298" i="8"/>
  <c r="I298" i="8" s="1"/>
  <c r="AQ159" i="8"/>
  <c r="G159" i="8" s="1"/>
  <c r="AQ327" i="8"/>
  <c r="G327" i="8" s="1"/>
  <c r="AS106" i="8"/>
  <c r="I106" i="8" s="1"/>
  <c r="AQ362" i="8"/>
  <c r="G362" i="8" s="1"/>
  <c r="AQ112" i="8"/>
  <c r="G112" i="8" s="1"/>
  <c r="U19" i="4" a="1"/>
  <c r="U19" i="4" s="1"/>
  <c r="AD186" i="5" s="1"/>
  <c r="AX186" i="5" s="1"/>
  <c r="AG62" i="2"/>
  <c r="AY42" i="8"/>
  <c r="O42" i="8" s="1"/>
  <c r="AY197" i="8"/>
  <c r="O197" i="8" s="1"/>
  <c r="AZ380" i="8"/>
  <c r="P380" i="8" s="1"/>
  <c r="AP391" i="5"/>
  <c r="V392" i="8"/>
  <c r="U5" i="4" a="1"/>
  <c r="U5" i="4" s="1"/>
  <c r="AD61" i="5" s="1"/>
  <c r="AY299" i="5"/>
  <c r="AK68" i="2"/>
  <c r="V26" i="11"/>
  <c r="W26" i="11"/>
  <c r="J26" i="11"/>
  <c r="R26" i="11"/>
  <c r="S26" i="11"/>
  <c r="U26" i="11"/>
  <c r="K26" i="11" s="1"/>
  <c r="M26" i="11" s="1"/>
  <c r="N6" i="11"/>
  <c r="L6" i="11"/>
  <c r="M6" i="11" s="1"/>
  <c r="M2" i="11"/>
  <c r="L4" i="11"/>
  <c r="M4" i="11" s="1"/>
  <c r="L15" i="11"/>
  <c r="M15" i="11"/>
  <c r="N5" i="11"/>
  <c r="L5" i="11"/>
  <c r="M5" i="11" s="1"/>
  <c r="R7" i="11"/>
  <c r="J7" i="11"/>
  <c r="S7" i="11"/>
  <c r="W7" i="11"/>
  <c r="U7" i="11"/>
  <c r="K7" i="11" s="1"/>
  <c r="M7" i="11" s="1"/>
  <c r="V7" i="11"/>
  <c r="U20" i="11"/>
  <c r="K20" i="11" s="1"/>
  <c r="M20" i="11" s="1"/>
  <c r="W24" i="11"/>
  <c r="V18" i="11"/>
  <c r="J16" i="11"/>
  <c r="N16" i="11" s="1"/>
  <c r="V16" i="11"/>
  <c r="R21" i="11"/>
  <c r="U8" i="11"/>
  <c r="K8" i="11" s="1"/>
  <c r="M8" i="11" s="1"/>
  <c r="W22" i="11"/>
  <c r="J21" i="11"/>
  <c r="S5" i="11"/>
  <c r="S20" i="11"/>
  <c r="V17" i="11"/>
  <c r="F391" i="8"/>
  <c r="H391" i="8"/>
  <c r="R11" i="11"/>
  <c r="K11" i="11" s="1"/>
  <c r="M11" i="11" s="1"/>
  <c r="W21" i="11"/>
  <c r="J11" i="11"/>
  <c r="V24" i="11"/>
  <c r="V20" i="11"/>
  <c r="H312" i="8"/>
  <c r="F398" i="8"/>
  <c r="V8" i="11"/>
  <c r="J19" i="11"/>
  <c r="J4" i="11"/>
  <c r="N4" i="11" s="1"/>
  <c r="R20" i="11"/>
  <c r="U17" i="11"/>
  <c r="K17" i="11" s="1"/>
  <c r="M17" i="11" s="1"/>
  <c r="J20" i="11"/>
  <c r="V23" i="11"/>
  <c r="I398" i="8"/>
  <c r="H336" i="8"/>
  <c r="U24" i="11"/>
  <c r="K24" i="11" s="1"/>
  <c r="M24" i="11" s="1"/>
  <c r="U16" i="11"/>
  <c r="K16" i="11" s="1"/>
  <c r="J18" i="11"/>
  <c r="S25" i="11"/>
  <c r="S18" i="11"/>
  <c r="G282" i="8"/>
  <c r="U23" i="11"/>
  <c r="K23" i="11" s="1"/>
  <c r="M23" i="11" s="1"/>
  <c r="W18" i="11"/>
  <c r="J17" i="11"/>
  <c r="V22" i="11"/>
  <c r="N37" i="8"/>
  <c r="J25" i="11"/>
  <c r="U21" i="11"/>
  <c r="K21" i="11" s="1"/>
  <c r="M21" i="11" s="1"/>
  <c r="G43" i="8"/>
  <c r="F401" i="8"/>
  <c r="N380" i="8"/>
  <c r="H121" i="8"/>
  <c r="N31" i="8"/>
  <c r="H309" i="8"/>
  <c r="H261" i="8"/>
  <c r="H123" i="8"/>
  <c r="H122" i="8"/>
  <c r="H128" i="8"/>
  <c r="H79" i="8"/>
  <c r="AE356" i="8"/>
  <c r="AQ356" i="8" s="1"/>
  <c r="G356" i="8" s="1"/>
  <c r="AK356" i="8"/>
  <c r="AE387" i="8"/>
  <c r="AQ387" i="8" s="1"/>
  <c r="G387" i="8" s="1"/>
  <c r="AA387" i="8"/>
  <c r="AD387" i="8"/>
  <c r="AP387" i="8" s="1"/>
  <c r="F387" i="8" s="1"/>
  <c r="AG387" i="8"/>
  <c r="AS387" i="8" s="1"/>
  <c r="I387" i="8" s="1"/>
  <c r="AL387" i="8"/>
  <c r="AX387" i="8" s="1"/>
  <c r="N387" i="8" s="1"/>
  <c r="AA136" i="8"/>
  <c r="AL136" i="8"/>
  <c r="AG136" i="8"/>
  <c r="AS136" i="8" s="1"/>
  <c r="I136" i="8" s="1"/>
  <c r="T136" i="8"/>
  <c r="AK136" i="8"/>
  <c r="V136" i="8"/>
  <c r="X136" i="8"/>
  <c r="AK306" i="8"/>
  <c r="AE306" i="8"/>
  <c r="AQ306" i="8" s="1"/>
  <c r="G306" i="8" s="1"/>
  <c r="AF306" i="8"/>
  <c r="AR306" i="8" s="1"/>
  <c r="H306" i="8" s="1"/>
  <c r="AE291" i="8"/>
  <c r="AQ291" i="8" s="1"/>
  <c r="G291" i="8" s="1"/>
  <c r="AG291" i="8"/>
  <c r="AF291" i="8"/>
  <c r="AR291" i="8" s="1"/>
  <c r="H291" i="8" s="1"/>
  <c r="AK291" i="8"/>
  <c r="U291" i="8"/>
  <c r="AK235" i="8"/>
  <c r="AG235" i="8"/>
  <c r="AS235" i="8" s="1"/>
  <c r="I235" i="8" s="1"/>
  <c r="AI235" i="8"/>
  <c r="AM235" i="8"/>
  <c r="T235" i="8"/>
  <c r="X394" i="8"/>
  <c r="T389" i="8"/>
  <c r="AB294" i="8"/>
  <c r="AK372" i="8"/>
  <c r="AE372" i="8"/>
  <c r="AQ372" i="8" s="1"/>
  <c r="G372" i="8" s="1"/>
  <c r="AD328" i="8"/>
  <c r="AP328" i="8" s="1"/>
  <c r="F328" i="8" s="1"/>
  <c r="AE328" i="8"/>
  <c r="AQ328" i="8" s="1"/>
  <c r="G328" i="8" s="1"/>
  <c r="AA328" i="8"/>
  <c r="AK328" i="8"/>
  <c r="AF328" i="8"/>
  <c r="AR328" i="8" s="1"/>
  <c r="H328" i="8" s="1"/>
  <c r="AL328" i="8"/>
  <c r="AX328" i="8" s="1"/>
  <c r="N328" i="8" s="1"/>
  <c r="AG10" i="8"/>
  <c r="AE10" i="8"/>
  <c r="AK10" i="8"/>
  <c r="S10" i="8"/>
  <c r="T10" i="8"/>
  <c r="AI10" i="8"/>
  <c r="Z10" i="8"/>
  <c r="AB10" i="8"/>
  <c r="U10" i="8"/>
  <c r="V10" i="8"/>
  <c r="AF305" i="8"/>
  <c r="AR305" i="8" s="1"/>
  <c r="H305" i="8" s="1"/>
  <c r="AE305" i="8"/>
  <c r="AQ305" i="8" s="1"/>
  <c r="G305" i="8" s="1"/>
  <c r="AK305" i="8"/>
  <c r="AI389" i="8"/>
  <c r="AU389" i="8" s="1"/>
  <c r="K389" i="8" s="1"/>
  <c r="AF389" i="8"/>
  <c r="AR389" i="8" s="1"/>
  <c r="AG389" i="8"/>
  <c r="AS389" i="8" s="1"/>
  <c r="I389" i="8" s="1"/>
  <c r="AA389" i="8"/>
  <c r="AE389" i="8"/>
  <c r="AQ389" i="8" s="1"/>
  <c r="G389" i="8" s="1"/>
  <c r="AL389" i="8"/>
  <c r="AX389" i="8" s="1"/>
  <c r="N389" i="8" s="1"/>
  <c r="AI52" i="8"/>
  <c r="AB52" i="8"/>
  <c r="AE52" i="8"/>
  <c r="V52" i="8"/>
  <c r="AG52" i="8"/>
  <c r="S52" i="8"/>
  <c r="U52" i="8"/>
  <c r="AG394" i="8"/>
  <c r="AS394" i="8" s="1"/>
  <c r="I394" i="8" s="1"/>
  <c r="AI394" i="8"/>
  <c r="AU394" i="8" s="1"/>
  <c r="K394" i="8" s="1"/>
  <c r="AA394" i="8"/>
  <c r="AY394" i="8" s="1"/>
  <c r="AL394" i="8"/>
  <c r="AX394" i="8" s="1"/>
  <c r="N394" i="8" s="1"/>
  <c r="AE394" i="8"/>
  <c r="AQ394" i="8" s="1"/>
  <c r="G394" i="8" s="1"/>
  <c r="AF394" i="8"/>
  <c r="AR394" i="8" s="1"/>
  <c r="H394" i="8" s="1"/>
  <c r="AO394" i="8"/>
  <c r="AD394" i="8"/>
  <c r="AP394" i="8" s="1"/>
  <c r="F394" i="8" s="1"/>
  <c r="AE343" i="8"/>
  <c r="AQ343" i="8" s="1"/>
  <c r="G343" i="8" s="1"/>
  <c r="AF343" i="8"/>
  <c r="AR343" i="8" s="1"/>
  <c r="H343" i="8" s="1"/>
  <c r="AA343" i="8"/>
  <c r="AK343" i="8"/>
  <c r="AL343" i="8"/>
  <c r="AX343" i="8" s="1"/>
  <c r="N343" i="8" s="1"/>
  <c r="AD343" i="8"/>
  <c r="AP343" i="8" s="1"/>
  <c r="F343" i="8" s="1"/>
  <c r="AI294" i="8"/>
  <c r="AE294" i="8"/>
  <c r="AG294" i="8"/>
  <c r="AK294" i="8"/>
  <c r="AG226" i="8"/>
  <c r="AM226" i="8"/>
  <c r="T226" i="8"/>
  <c r="V226" i="8"/>
  <c r="AB226" i="8"/>
  <c r="AK226" i="8"/>
  <c r="U226" i="8"/>
  <c r="AF3" i="8"/>
  <c r="AG3" i="8"/>
  <c r="AI3" i="8"/>
  <c r="T3" i="8"/>
  <c r="U3" i="8"/>
  <c r="U294" i="8"/>
  <c r="AE393" i="8"/>
  <c r="AQ393" i="8" s="1"/>
  <c r="G393" i="8" s="1"/>
  <c r="AD393" i="8"/>
  <c r="AP393" i="8" s="1"/>
  <c r="F393" i="8" s="1"/>
  <c r="AF393" i="8"/>
  <c r="AR393" i="8" s="1"/>
  <c r="H393" i="8" s="1"/>
  <c r="AA393" i="8"/>
  <c r="AG393" i="8"/>
  <c r="AS393" i="8" s="1"/>
  <c r="I393" i="8" s="1"/>
  <c r="AL393" i="8"/>
  <c r="AX393" i="8" s="1"/>
  <c r="N393" i="8" s="1"/>
  <c r="AI393" i="8"/>
  <c r="AU393" i="8" s="1"/>
  <c r="K393" i="8" s="1"/>
  <c r="AK326" i="8"/>
  <c r="AL326" i="8"/>
  <c r="AX326" i="8" s="1"/>
  <c r="N326" i="8" s="1"/>
  <c r="AA326" i="8"/>
  <c r="AE326" i="8"/>
  <c r="AQ326" i="8" s="1"/>
  <c r="G326" i="8" s="1"/>
  <c r="AF326" i="8"/>
  <c r="AR326" i="8" s="1"/>
  <c r="H326" i="8" s="1"/>
  <c r="R326" i="8"/>
  <c r="AK247" i="8"/>
  <c r="AG247" i="8"/>
  <c r="AE247" i="8"/>
  <c r="AQ247" i="8" s="1"/>
  <c r="G247" i="8" s="1"/>
  <c r="AF247" i="8"/>
  <c r="AR247" i="8" s="1"/>
  <c r="H247" i="8" s="1"/>
  <c r="AI247" i="8"/>
  <c r="U247" i="8"/>
  <c r="T294" i="8"/>
  <c r="AB343" i="8"/>
  <c r="S294" i="8"/>
  <c r="X2" i="8"/>
  <c r="AG2" i="8"/>
  <c r="AS2" i="8" s="1"/>
  <c r="I2" i="8" s="1"/>
  <c r="AK2" i="8"/>
  <c r="AI2" i="8"/>
  <c r="T2" i="8"/>
  <c r="V2" i="8"/>
  <c r="AA339" i="8"/>
  <c r="AE339" i="8"/>
  <c r="AQ339" i="8" s="1"/>
  <c r="G339" i="8" s="1"/>
  <c r="AF339" i="8"/>
  <c r="AR339" i="8" s="1"/>
  <c r="H339" i="8" s="1"/>
  <c r="AK339" i="8"/>
  <c r="AL339" i="8"/>
  <c r="AX339" i="8" s="1"/>
  <c r="N339" i="8" s="1"/>
  <c r="AM400" i="8"/>
  <c r="AF400" i="8"/>
  <c r="AR400" i="8" s="1"/>
  <c r="H400" i="8" s="1"/>
  <c r="AG400" i="8"/>
  <c r="AS400" i="8" s="1"/>
  <c r="I400" i="8" s="1"/>
  <c r="AA400" i="8"/>
  <c r="AE400" i="8"/>
  <c r="AQ400" i="8" s="1"/>
  <c r="G400" i="8" s="1"/>
  <c r="AI400" i="8"/>
  <c r="AU400" i="8" s="1"/>
  <c r="K400" i="8" s="1"/>
  <c r="AO400" i="8"/>
  <c r="AK373" i="8"/>
  <c r="AE373" i="8"/>
  <c r="AQ373" i="8" s="1"/>
  <c r="G373" i="8" s="1"/>
  <c r="AK241" i="8"/>
  <c r="AG241" i="8"/>
  <c r="AS241" i="8" s="1"/>
  <c r="I241" i="8" s="1"/>
  <c r="AI241" i="8"/>
  <c r="AI174" i="8"/>
  <c r="AK174" i="8"/>
  <c r="AG174" i="8"/>
  <c r="U174" i="8"/>
  <c r="V174" i="8"/>
  <c r="AG138" i="8"/>
  <c r="AS138" i="8" s="1"/>
  <c r="I138" i="8" s="1"/>
  <c r="AI138" i="8"/>
  <c r="AE138" i="8"/>
  <c r="AQ138" i="8" s="1"/>
  <c r="G138" i="8" s="1"/>
  <c r="AK138" i="8"/>
  <c r="AF111" i="8"/>
  <c r="AR111" i="8" s="1"/>
  <c r="H111" i="8" s="1"/>
  <c r="AG111" i="8"/>
  <c r="AS111" i="8" s="1"/>
  <c r="I111" i="8" s="1"/>
  <c r="AE111" i="8"/>
  <c r="S111" i="8"/>
  <c r="AK111" i="8"/>
  <c r="AM111" i="8"/>
  <c r="AK108" i="8"/>
  <c r="AL108" i="8"/>
  <c r="AA108" i="8"/>
  <c r="R108" i="8"/>
  <c r="X108" i="8"/>
  <c r="AG108" i="8"/>
  <c r="AS108" i="8" s="1"/>
  <c r="I108" i="8" s="1"/>
  <c r="AI108" i="8"/>
  <c r="AF50" i="8"/>
  <c r="AR50" i="8" s="1"/>
  <c r="H50" i="8" s="1"/>
  <c r="AB50" i="8"/>
  <c r="V50" i="8"/>
  <c r="AG50" i="8"/>
  <c r="AS50" i="8" s="1"/>
  <c r="I50" i="8" s="1"/>
  <c r="AI50" i="8"/>
  <c r="AK50" i="8"/>
  <c r="AK340" i="8"/>
  <c r="AL340" i="8"/>
  <c r="AX340" i="8" s="1"/>
  <c r="N340" i="8" s="1"/>
  <c r="AA340" i="8"/>
  <c r="AE340" i="8"/>
  <c r="AQ340" i="8" s="1"/>
  <c r="G340" i="8" s="1"/>
  <c r="AK288" i="8"/>
  <c r="AG288" i="8"/>
  <c r="AS288" i="8" s="1"/>
  <c r="I288" i="8" s="1"/>
  <c r="AI288" i="8"/>
  <c r="AE268" i="8"/>
  <c r="AQ268" i="8" s="1"/>
  <c r="G268" i="8" s="1"/>
  <c r="AF268" i="8"/>
  <c r="AR268" i="8" s="1"/>
  <c r="H268" i="8" s="1"/>
  <c r="AI268" i="8"/>
  <c r="AK268" i="8"/>
  <c r="AE254" i="8"/>
  <c r="AQ254" i="8" s="1"/>
  <c r="G254" i="8" s="1"/>
  <c r="AG254" i="8"/>
  <c r="AS254" i="8" s="1"/>
  <c r="I254" i="8" s="1"/>
  <c r="AK254" i="8"/>
  <c r="AG251" i="8"/>
  <c r="AS251" i="8" s="1"/>
  <c r="I251" i="8" s="1"/>
  <c r="AI251" i="8"/>
  <c r="AF251" i="8"/>
  <c r="AR251" i="8" s="1"/>
  <c r="H251" i="8" s="1"/>
  <c r="AK251" i="8"/>
  <c r="AG221" i="8"/>
  <c r="AS221" i="8" s="1"/>
  <c r="I221" i="8" s="1"/>
  <c r="AE221" i="8"/>
  <c r="AQ221" i="8" s="1"/>
  <c r="G221" i="8" s="1"/>
  <c r="AF221" i="8"/>
  <c r="AR221" i="8" s="1"/>
  <c r="H221" i="8" s="1"/>
  <c r="AK221" i="8"/>
  <c r="AM221" i="8"/>
  <c r="AL204" i="8"/>
  <c r="AF204" i="8"/>
  <c r="AR204" i="8" s="1"/>
  <c r="H204" i="8" s="1"/>
  <c r="AA204" i="8"/>
  <c r="AI204" i="8"/>
  <c r="AK187" i="8"/>
  <c r="AF187" i="8"/>
  <c r="AR187" i="8" s="1"/>
  <c r="H187" i="8" s="1"/>
  <c r="AE114" i="8"/>
  <c r="AQ114" i="8" s="1"/>
  <c r="G114" i="8" s="1"/>
  <c r="AM114" i="8"/>
  <c r="AF114" i="8"/>
  <c r="AR114" i="8" s="1"/>
  <c r="H114" i="8" s="1"/>
  <c r="AG114" i="8"/>
  <c r="AS114" i="8" s="1"/>
  <c r="I114" i="8" s="1"/>
  <c r="T105" i="8"/>
  <c r="AI405" i="8"/>
  <c r="AU405" i="8" s="1"/>
  <c r="K405" i="8" s="1"/>
  <c r="AA405" i="8"/>
  <c r="AY405" i="8" s="1"/>
  <c r="AF405" i="8"/>
  <c r="AR405" i="8" s="1"/>
  <c r="H405" i="8" s="1"/>
  <c r="AF403" i="8"/>
  <c r="AR403" i="8" s="1"/>
  <c r="H403" i="8" s="1"/>
  <c r="AG403" i="8"/>
  <c r="AS403" i="8" s="1"/>
  <c r="I403" i="8" s="1"/>
  <c r="AA403" i="8"/>
  <c r="AE403" i="8"/>
  <c r="AQ403" i="8" s="1"/>
  <c r="G403" i="8" s="1"/>
  <c r="AE378" i="8"/>
  <c r="AQ378" i="8" s="1"/>
  <c r="G378" i="8" s="1"/>
  <c r="AE357" i="8"/>
  <c r="AQ357" i="8" s="1"/>
  <c r="G357" i="8" s="1"/>
  <c r="AA344" i="8"/>
  <c r="AF344" i="8"/>
  <c r="AR344" i="8" s="1"/>
  <c r="H344" i="8" s="1"/>
  <c r="AL344" i="8"/>
  <c r="AX344" i="8" s="1"/>
  <c r="N344" i="8" s="1"/>
  <c r="AK333" i="8"/>
  <c r="AE333" i="8"/>
  <c r="AQ333" i="8" s="1"/>
  <c r="G333" i="8" s="1"/>
  <c r="AF333" i="8"/>
  <c r="AR333" i="8" s="1"/>
  <c r="H333" i="8" s="1"/>
  <c r="AA333" i="8"/>
  <c r="AL333" i="8"/>
  <c r="AX333" i="8" s="1"/>
  <c r="N333" i="8" s="1"/>
  <c r="AE311" i="8"/>
  <c r="AQ311" i="8" s="1"/>
  <c r="G311" i="8" s="1"/>
  <c r="AA311" i="8"/>
  <c r="AF311" i="8"/>
  <c r="AR311" i="8" s="1"/>
  <c r="H311" i="8" s="1"/>
  <c r="AM160" i="8"/>
  <c r="AK160" i="8"/>
  <c r="AE160" i="8"/>
  <c r="S160" i="8"/>
  <c r="AI160" i="8"/>
  <c r="Z126" i="8"/>
  <c r="AE126" i="8"/>
  <c r="AQ126" i="8" s="1"/>
  <c r="G126" i="8" s="1"/>
  <c r="AK117" i="8"/>
  <c r="AG117" i="8"/>
  <c r="AS117" i="8" s="1"/>
  <c r="I117" i="8" s="1"/>
  <c r="AI117" i="8"/>
  <c r="AM107" i="8"/>
  <c r="AG107" i="8"/>
  <c r="AS107" i="8" s="1"/>
  <c r="I107" i="8" s="1"/>
  <c r="AA107" i="8"/>
  <c r="AI107" i="8"/>
  <c r="AK107" i="8"/>
  <c r="V107" i="8"/>
  <c r="AK93" i="8"/>
  <c r="AK47" i="8"/>
  <c r="AI47" i="8"/>
  <c r="AB47" i="8"/>
  <c r="X47" i="8"/>
  <c r="AE47" i="8"/>
  <c r="AQ47" i="8" s="1"/>
  <c r="G47" i="8" s="1"/>
  <c r="AF47" i="8"/>
  <c r="AR47" i="8" s="1"/>
  <c r="H47" i="8" s="1"/>
  <c r="AK27" i="8"/>
  <c r="AE27" i="8"/>
  <c r="AQ27" i="8" s="1"/>
  <c r="G27" i="8" s="1"/>
  <c r="S105" i="8"/>
  <c r="AO396" i="8"/>
  <c r="AI390" i="8"/>
  <c r="AU390" i="8" s="1"/>
  <c r="K390" i="8" s="1"/>
  <c r="AA390" i="8"/>
  <c r="AD390" i="8"/>
  <c r="AP390" i="8" s="1"/>
  <c r="F390" i="8" s="1"/>
  <c r="AF390" i="8"/>
  <c r="AR390" i="8" s="1"/>
  <c r="H390" i="8" s="1"/>
  <c r="AL331" i="8"/>
  <c r="AX331" i="8" s="1"/>
  <c r="N331" i="8" s="1"/>
  <c r="AA331" i="8"/>
  <c r="AF331" i="8"/>
  <c r="AR331" i="8" s="1"/>
  <c r="H331" i="8" s="1"/>
  <c r="AF279" i="8"/>
  <c r="AR279" i="8" s="1"/>
  <c r="H279" i="8" s="1"/>
  <c r="AG279" i="8"/>
  <c r="AS279" i="8" s="1"/>
  <c r="I279" i="8" s="1"/>
  <c r="AG231" i="8"/>
  <c r="AS231" i="8" s="1"/>
  <c r="I231" i="8" s="1"/>
  <c r="AE231" i="8"/>
  <c r="AQ231" i="8" s="1"/>
  <c r="G231" i="8" s="1"/>
  <c r="AI165" i="8"/>
  <c r="AG165" i="8"/>
  <c r="AS165" i="8" s="1"/>
  <c r="I165" i="8" s="1"/>
  <c r="AK165" i="8"/>
  <c r="X165" i="8"/>
  <c r="AK113" i="8"/>
  <c r="AM113" i="8"/>
  <c r="V113" i="8"/>
  <c r="AE113" i="8"/>
  <c r="AQ113" i="8" s="1"/>
  <c r="G113" i="8" s="1"/>
  <c r="AG113" i="8"/>
  <c r="AS113" i="8" s="1"/>
  <c r="I113" i="8" s="1"/>
  <c r="AI67" i="8"/>
  <c r="S67" i="8"/>
  <c r="AE67" i="8"/>
  <c r="AF67" i="8"/>
  <c r="AR67" i="8" s="1"/>
  <c r="H67" i="8" s="1"/>
  <c r="AG67" i="8"/>
  <c r="AS67" i="8" s="1"/>
  <c r="I67" i="8" s="1"/>
  <c r="AK67" i="8"/>
  <c r="AA36" i="8"/>
  <c r="AL36" i="8"/>
  <c r="AX36" i="8" s="1"/>
  <c r="N36" i="8" s="1"/>
  <c r="AD36" i="8"/>
  <c r="AP36" i="8" s="1"/>
  <c r="F36" i="8" s="1"/>
  <c r="AE36" i="8"/>
  <c r="AQ36" i="8" s="1"/>
  <c r="G36" i="8" s="1"/>
  <c r="AF36" i="8"/>
  <c r="AR36" i="8" s="1"/>
  <c r="H36" i="8" s="1"/>
  <c r="AI36" i="8"/>
  <c r="AU36" i="8" s="1"/>
  <c r="K36" i="8" s="1"/>
  <c r="AI15" i="8"/>
  <c r="AF15" i="8"/>
  <c r="AR15" i="8" s="1"/>
  <c r="H15" i="8" s="1"/>
  <c r="AM396" i="8"/>
  <c r="AK378" i="8"/>
  <c r="AK368" i="8"/>
  <c r="AE168" i="8"/>
  <c r="AQ168" i="8" s="1"/>
  <c r="G168" i="8" s="1"/>
  <c r="AI168" i="8"/>
  <c r="AG168" i="8"/>
  <c r="AS168" i="8" s="1"/>
  <c r="I168" i="8" s="1"/>
  <c r="AK168" i="8"/>
  <c r="AI143" i="8"/>
  <c r="AK143" i="8"/>
  <c r="AE143" i="8"/>
  <c r="AQ143" i="8" s="1"/>
  <c r="G143" i="8" s="1"/>
  <c r="AG143" i="8"/>
  <c r="AS143" i="8" s="1"/>
  <c r="I143" i="8" s="1"/>
  <c r="V143" i="8"/>
  <c r="AG116" i="8"/>
  <c r="AS116" i="8" s="1"/>
  <c r="I116" i="8" s="1"/>
  <c r="AD116" i="8"/>
  <c r="AI116" i="8"/>
  <c r="AK116" i="8"/>
  <c r="V116" i="8"/>
  <c r="AM116" i="8"/>
  <c r="AB93" i="8"/>
  <c r="AG93" i="8"/>
  <c r="AS93" i="8" s="1"/>
  <c r="I93" i="8" s="1"/>
  <c r="V93" i="8"/>
  <c r="AI93" i="8"/>
  <c r="AG64" i="8"/>
  <c r="AS64" i="8" s="1"/>
  <c r="I64" i="8" s="1"/>
  <c r="AB64" i="8"/>
  <c r="AF64" i="8"/>
  <c r="AR64" i="8" s="1"/>
  <c r="H64" i="8" s="1"/>
  <c r="AI64" i="8"/>
  <c r="V64" i="8"/>
  <c r="AG233" i="8"/>
  <c r="AS233" i="8" s="1"/>
  <c r="I233" i="8" s="1"/>
  <c r="AI233" i="8"/>
  <c r="AK233" i="8"/>
  <c r="AI159" i="8"/>
  <c r="AK159" i="8"/>
  <c r="AF159" i="8"/>
  <c r="AR159" i="8" s="1"/>
  <c r="H159" i="8" s="1"/>
  <c r="AG22" i="8"/>
  <c r="AS22" i="8" s="1"/>
  <c r="I22" i="8" s="1"/>
  <c r="AI22" i="8"/>
  <c r="AK22" i="8"/>
  <c r="AI14" i="8"/>
  <c r="AF14" i="8"/>
  <c r="AK14" i="8"/>
  <c r="AE14" i="8"/>
  <c r="AG14" i="8"/>
  <c r="AS14" i="8" s="1"/>
  <c r="I14" i="8" s="1"/>
  <c r="S14" i="8"/>
  <c r="T14" i="8"/>
  <c r="AL401" i="8"/>
  <c r="AX401" i="8" s="1"/>
  <c r="N401" i="8" s="1"/>
  <c r="AF401" i="8"/>
  <c r="AR401" i="8" s="1"/>
  <c r="H401" i="8" s="1"/>
  <c r="AG401" i="8"/>
  <c r="AS401" i="8" s="1"/>
  <c r="I401" i="8" s="1"/>
  <c r="AA401" i="8"/>
  <c r="AY401" i="8" s="1"/>
  <c r="AI401" i="8"/>
  <c r="AU401" i="8" s="1"/>
  <c r="K401" i="8" s="1"/>
  <c r="AE330" i="8"/>
  <c r="AQ330" i="8" s="1"/>
  <c r="G330" i="8" s="1"/>
  <c r="AA330" i="8"/>
  <c r="AK330" i="8"/>
  <c r="AL330" i="8"/>
  <c r="AX330" i="8" s="1"/>
  <c r="N330" i="8" s="1"/>
  <c r="AI278" i="8"/>
  <c r="AF278" i="8"/>
  <c r="AR278" i="8" s="1"/>
  <c r="H278" i="8" s="1"/>
  <c r="AG278" i="8"/>
  <c r="AS278" i="8" s="1"/>
  <c r="I278" i="8" s="1"/>
  <c r="AK92" i="8"/>
  <c r="AG92" i="8"/>
  <c r="AS92" i="8" s="1"/>
  <c r="I92" i="8" s="1"/>
  <c r="AB92" i="8"/>
  <c r="AI92" i="8"/>
  <c r="S92" i="8"/>
  <c r="AE92" i="8"/>
  <c r="Z92" i="8"/>
  <c r="AE119" i="8"/>
  <c r="AQ119" i="8" s="1"/>
  <c r="G119" i="8" s="1"/>
  <c r="AI119" i="8"/>
  <c r="W119" i="8"/>
  <c r="AI105" i="8"/>
  <c r="AB105" i="8"/>
  <c r="X105" i="8"/>
  <c r="AM105" i="8"/>
  <c r="V105" i="8"/>
  <c r="AE105" i="8"/>
  <c r="AE396" i="8"/>
  <c r="AQ396" i="8" s="1"/>
  <c r="G396" i="8" s="1"/>
  <c r="AI396" i="8"/>
  <c r="AU396" i="8" s="1"/>
  <c r="K396" i="8" s="1"/>
  <c r="AA396" i="8"/>
  <c r="AF396" i="8"/>
  <c r="AR396" i="8" s="1"/>
  <c r="H396" i="8" s="1"/>
  <c r="AG396" i="8"/>
  <c r="AS396" i="8" s="1"/>
  <c r="I396" i="8" s="1"/>
  <c r="AK358" i="8"/>
  <c r="AE358" i="8"/>
  <c r="AQ358" i="8" s="1"/>
  <c r="G358" i="8" s="1"/>
  <c r="AA325" i="8"/>
  <c r="AE325" i="8"/>
  <c r="AQ325" i="8" s="1"/>
  <c r="G325" i="8" s="1"/>
  <c r="AF325" i="8"/>
  <c r="AR325" i="8" s="1"/>
  <c r="H325" i="8" s="1"/>
  <c r="AK325" i="8"/>
  <c r="AM268" i="8"/>
  <c r="AI172" i="8"/>
  <c r="AF172" i="8"/>
  <c r="AR172" i="8" s="1"/>
  <c r="H172" i="8" s="1"/>
  <c r="AE172" i="8"/>
  <c r="S172" i="8"/>
  <c r="AI153" i="8"/>
  <c r="AG153" i="8"/>
  <c r="AS153" i="8" s="1"/>
  <c r="I153" i="8" s="1"/>
  <c r="AK153" i="8"/>
  <c r="X153" i="8"/>
  <c r="AE150" i="8"/>
  <c r="AQ150" i="8" s="1"/>
  <c r="G150" i="8" s="1"/>
  <c r="AG150" i="8"/>
  <c r="AS150" i="8" s="1"/>
  <c r="I150" i="8" s="1"/>
  <c r="AI150" i="8"/>
  <c r="AU150" i="8" s="1"/>
  <c r="K150" i="8" s="1"/>
  <c r="AK150" i="8"/>
  <c r="AM108" i="8"/>
  <c r="AG77" i="8"/>
  <c r="AS77" i="8" s="1"/>
  <c r="I77" i="8" s="1"/>
  <c r="AB77" i="8"/>
  <c r="AK77" i="8"/>
  <c r="AE77" i="8"/>
  <c r="AQ77" i="8" s="1"/>
  <c r="G77" i="8" s="1"/>
  <c r="V77" i="8"/>
  <c r="AM77" i="8"/>
  <c r="AM19" i="8"/>
  <c r="AE19" i="8"/>
  <c r="AQ19" i="8" s="1"/>
  <c r="G19" i="8" s="1"/>
  <c r="AF19" i="8"/>
  <c r="AR19" i="8" s="1"/>
  <c r="H19" i="8" s="1"/>
  <c r="AG19" i="8"/>
  <c r="AS19" i="8" s="1"/>
  <c r="I19" i="8" s="1"/>
  <c r="AK19" i="8"/>
  <c r="AI9" i="8"/>
  <c r="AK9" i="8"/>
  <c r="AL405" i="8"/>
  <c r="AX405" i="8" s="1"/>
  <c r="N405" i="8" s="1"/>
  <c r="AL403" i="8"/>
  <c r="AX403" i="8" s="1"/>
  <c r="N403" i="8" s="1"/>
  <c r="AL345" i="8"/>
  <c r="AX345" i="8" s="1"/>
  <c r="N345" i="8" s="1"/>
  <c r="AA345" i="8"/>
  <c r="AE345" i="8"/>
  <c r="AQ345" i="8" s="1"/>
  <c r="G345" i="8" s="1"/>
  <c r="AF345" i="8"/>
  <c r="AR345" i="8" s="1"/>
  <c r="H345" i="8" s="1"/>
  <c r="AE336" i="8"/>
  <c r="AQ336" i="8" s="1"/>
  <c r="G336" i="8" s="1"/>
  <c r="AA336" i="8"/>
  <c r="AG293" i="8"/>
  <c r="AS293" i="8" s="1"/>
  <c r="I293" i="8" s="1"/>
  <c r="AK293" i="8"/>
  <c r="AE293" i="8"/>
  <c r="AQ293" i="8" s="1"/>
  <c r="G293" i="8" s="1"/>
  <c r="AI252" i="8"/>
  <c r="AF252" i="8"/>
  <c r="AR252" i="8" s="1"/>
  <c r="H252" i="8" s="1"/>
  <c r="AF219" i="8"/>
  <c r="AR219" i="8" s="1"/>
  <c r="H219" i="8" s="1"/>
  <c r="AE219" i="8"/>
  <c r="AQ219" i="8" s="1"/>
  <c r="G219" i="8" s="1"/>
  <c r="AK219" i="8"/>
  <c r="AM215" i="8"/>
  <c r="AK215" i="8"/>
  <c r="AG215" i="8"/>
  <c r="AS215" i="8" s="1"/>
  <c r="I215" i="8" s="1"/>
  <c r="AK129" i="8"/>
  <c r="AE129" i="8"/>
  <c r="AQ129" i="8" s="1"/>
  <c r="G129" i="8" s="1"/>
  <c r="AG129" i="8"/>
  <c r="AS129" i="8" s="1"/>
  <c r="I129" i="8" s="1"/>
  <c r="AK114" i="8"/>
  <c r="AI39" i="8"/>
  <c r="AG39" i="8"/>
  <c r="AS39" i="8" s="1"/>
  <c r="I39" i="8" s="1"/>
  <c r="T39" i="8"/>
  <c r="AE39" i="8"/>
  <c r="AQ39" i="8" s="1"/>
  <c r="G39" i="8" s="1"/>
  <c r="AK39" i="8"/>
  <c r="AG405" i="8"/>
  <c r="AS405" i="8" s="1"/>
  <c r="I405" i="8" s="1"/>
  <c r="AO401" i="8"/>
  <c r="AD400" i="8"/>
  <c r="AP400" i="8" s="1"/>
  <c r="F400" i="8" s="1"/>
  <c r="AE369" i="8"/>
  <c r="AQ369" i="8" s="1"/>
  <c r="G369" i="8" s="1"/>
  <c r="AK357" i="8"/>
  <c r="AE347" i="8"/>
  <c r="AQ347" i="8" s="1"/>
  <c r="AF347" i="8"/>
  <c r="AA347" i="8"/>
  <c r="AK347" i="8"/>
  <c r="AK344" i="8"/>
  <c r="AA334" i="8"/>
  <c r="AF334" i="8"/>
  <c r="AR334" i="8" s="1"/>
  <c r="H334" i="8" s="1"/>
  <c r="AK334" i="8"/>
  <c r="AK331" i="8"/>
  <c r="AK283" i="8"/>
  <c r="AW283" i="8" s="1"/>
  <c r="M283" i="8" s="1"/>
  <c r="AE283" i="8"/>
  <c r="AQ283" i="8" s="1"/>
  <c r="G283" i="8" s="1"/>
  <c r="AF283" i="8"/>
  <c r="AR283" i="8" s="1"/>
  <c r="H283" i="8" s="1"/>
  <c r="AI266" i="8"/>
  <c r="AJ266" i="8"/>
  <c r="AV266" i="8" s="1"/>
  <c r="L266" i="8" s="1"/>
  <c r="AE266" i="8"/>
  <c r="AQ266" i="8" s="1"/>
  <c r="G266" i="8" s="1"/>
  <c r="AF266" i="8"/>
  <c r="AR266" i="8" s="1"/>
  <c r="H266" i="8" s="1"/>
  <c r="AG266" i="8"/>
  <c r="AS266" i="8" s="1"/>
  <c r="I266" i="8" s="1"/>
  <c r="AK266" i="8"/>
  <c r="AI254" i="8"/>
  <c r="AK217" i="8"/>
  <c r="AG217" i="8"/>
  <c r="AS217" i="8" s="1"/>
  <c r="I217" i="8" s="1"/>
  <c r="T217" i="8"/>
  <c r="AI187" i="8"/>
  <c r="AM174" i="8"/>
  <c r="AE163" i="8"/>
  <c r="AQ163" i="8" s="1"/>
  <c r="G163" i="8" s="1"/>
  <c r="AI163" i="8"/>
  <c r="AK163" i="8"/>
  <c r="U163" i="8"/>
  <c r="V163" i="8"/>
  <c r="AG163" i="8"/>
  <c r="AE76" i="8"/>
  <c r="AB76" i="8"/>
  <c r="AG76" i="8"/>
  <c r="AS76" i="8" s="1"/>
  <c r="I76" i="8" s="1"/>
  <c r="AI76" i="8"/>
  <c r="AK76" i="8"/>
  <c r="S76" i="8"/>
  <c r="T76" i="8"/>
  <c r="AB73" i="8"/>
  <c r="AG73" i="8"/>
  <c r="AS73" i="8" s="1"/>
  <c r="I73" i="8" s="1"/>
  <c r="X73" i="8"/>
  <c r="AI73" i="8"/>
  <c r="AE73" i="8"/>
  <c r="AQ73" i="8" s="1"/>
  <c r="G73" i="8" s="1"/>
  <c r="T73" i="8"/>
  <c r="AK73" i="8"/>
  <c r="AI190" i="8"/>
  <c r="AE190" i="8"/>
  <c r="AQ190" i="8" s="1"/>
  <c r="G190" i="8" s="1"/>
  <c r="AM185" i="8"/>
  <c r="AI185" i="8"/>
  <c r="AE185" i="8"/>
  <c r="AQ185" i="8" s="1"/>
  <c r="G185" i="8" s="1"/>
  <c r="AM169" i="8"/>
  <c r="AG166" i="8"/>
  <c r="AS166" i="8" s="1"/>
  <c r="I166" i="8" s="1"/>
  <c r="AK166" i="8"/>
  <c r="AG154" i="8"/>
  <c r="AS154" i="8" s="1"/>
  <c r="I154" i="8" s="1"/>
  <c r="AI154" i="8"/>
  <c r="AU154" i="8" s="1"/>
  <c r="K154" i="8" s="1"/>
  <c r="AM154" i="8"/>
  <c r="AE151" i="8"/>
  <c r="AQ151" i="8" s="1"/>
  <c r="G151" i="8" s="1"/>
  <c r="AK139" i="8"/>
  <c r="AK132" i="8"/>
  <c r="AF125" i="8"/>
  <c r="AR125" i="8" s="1"/>
  <c r="H125" i="8" s="1"/>
  <c r="AG125" i="8"/>
  <c r="AS125" i="8" s="1"/>
  <c r="I125" i="8" s="1"/>
  <c r="AK125" i="8"/>
  <c r="AE125" i="8"/>
  <c r="AQ125" i="8" s="1"/>
  <c r="G125" i="8" s="1"/>
  <c r="Z125" i="8"/>
  <c r="AE120" i="8"/>
  <c r="AQ120" i="8" s="1"/>
  <c r="G120" i="8" s="1"/>
  <c r="AA120" i="8"/>
  <c r="AK98" i="8"/>
  <c r="AB98" i="8"/>
  <c r="AE98" i="8"/>
  <c r="S98" i="8"/>
  <c r="T98" i="8"/>
  <c r="AG78" i="8"/>
  <c r="AS78" i="8" s="1"/>
  <c r="I78" i="8" s="1"/>
  <c r="AE78" i="8"/>
  <c r="AQ78" i="8" s="1"/>
  <c r="G78" i="8" s="1"/>
  <c r="AB78" i="8"/>
  <c r="AE61" i="8"/>
  <c r="AB61" i="8"/>
  <c r="AZ61" i="8" s="1"/>
  <c r="AE53" i="8"/>
  <c r="AQ53" i="8" s="1"/>
  <c r="G53" i="8" s="1"/>
  <c r="AB53" i="8"/>
  <c r="AG51" i="8"/>
  <c r="AS51" i="8" s="1"/>
  <c r="I51" i="8" s="1"/>
  <c r="AB51" i="8"/>
  <c r="AE51" i="8"/>
  <c r="AI46" i="8"/>
  <c r="AE46" i="8"/>
  <c r="AQ46" i="8" s="1"/>
  <c r="G46" i="8" s="1"/>
  <c r="AB46" i="8"/>
  <c r="AK46" i="8"/>
  <c r="V46" i="8"/>
  <c r="AF24" i="8"/>
  <c r="AR24" i="8" s="1"/>
  <c r="H24" i="8" s="1"/>
  <c r="AL16" i="8"/>
  <c r="AI16" i="8"/>
  <c r="AF16" i="8"/>
  <c r="AR16" i="8" s="1"/>
  <c r="H16" i="8" s="1"/>
  <c r="AK6" i="8"/>
  <c r="AE6" i="8"/>
  <c r="AQ6" i="8" s="1"/>
  <c r="G6" i="8" s="1"/>
  <c r="AB6" i="8"/>
  <c r="AG6" i="8"/>
  <c r="AS6" i="8" s="1"/>
  <c r="I6" i="8" s="1"/>
  <c r="AE324" i="8"/>
  <c r="AQ324" i="8" s="1"/>
  <c r="G324" i="8" s="1"/>
  <c r="AF324" i="8"/>
  <c r="AR324" i="8" s="1"/>
  <c r="H324" i="8" s="1"/>
  <c r="AA324" i="8"/>
  <c r="AG282" i="8"/>
  <c r="AS282" i="8" s="1"/>
  <c r="I282" i="8" s="1"/>
  <c r="AK265" i="8"/>
  <c r="AJ265" i="8"/>
  <c r="AE265" i="8"/>
  <c r="AQ265" i="8" s="1"/>
  <c r="G265" i="8" s="1"/>
  <c r="AK248" i="8"/>
  <c r="AG228" i="8"/>
  <c r="AS228" i="8" s="1"/>
  <c r="I228" i="8" s="1"/>
  <c r="AE223" i="8"/>
  <c r="AQ223" i="8" s="1"/>
  <c r="G223" i="8" s="1"/>
  <c r="AK223" i="8"/>
  <c r="AE211" i="8"/>
  <c r="AQ211" i="8" s="1"/>
  <c r="G211" i="8" s="1"/>
  <c r="AM211" i="8"/>
  <c r="AD211" i="8"/>
  <c r="AI206" i="8"/>
  <c r="AF195" i="8"/>
  <c r="AR195" i="8" s="1"/>
  <c r="H195" i="8" s="1"/>
  <c r="AI195" i="8"/>
  <c r="AA195" i="8"/>
  <c r="AK189" i="8"/>
  <c r="AK188" i="8"/>
  <c r="AE181" i="8"/>
  <c r="AQ181" i="8" s="1"/>
  <c r="G181" i="8" s="1"/>
  <c r="AM181" i="8"/>
  <c r="AI178" i="8"/>
  <c r="AE178" i="8"/>
  <c r="AQ178" i="8" s="1"/>
  <c r="G178" i="8" s="1"/>
  <c r="AK149" i="8"/>
  <c r="AJ149" i="8"/>
  <c r="AV149" i="8" s="1"/>
  <c r="L149" i="8" s="1"/>
  <c r="AK118" i="8"/>
  <c r="AG104" i="8"/>
  <c r="AS104" i="8" s="1"/>
  <c r="I104" i="8" s="1"/>
  <c r="AB104" i="8"/>
  <c r="AM104" i="8"/>
  <c r="AG99" i="8"/>
  <c r="AG81" i="8"/>
  <c r="AK59" i="8"/>
  <c r="AB59" i="8"/>
  <c r="U59" i="8"/>
  <c r="V59" i="8"/>
  <c r="AE56" i="8"/>
  <c r="AB56" i="8"/>
  <c r="S56" i="8"/>
  <c r="T56" i="8"/>
  <c r="AK45" i="8"/>
  <c r="AG26" i="8"/>
  <c r="AS26" i="8" s="1"/>
  <c r="I26" i="8" s="1"/>
  <c r="AG4" i="8"/>
  <c r="AS4" i="8" s="1"/>
  <c r="I4" i="8" s="1"/>
  <c r="AK4" i="8"/>
  <c r="AK24" i="8"/>
  <c r="AB190" i="8"/>
  <c r="V185" i="8"/>
  <c r="V151" i="8"/>
  <c r="S61" i="8"/>
  <c r="T51" i="8"/>
  <c r="AL399" i="8"/>
  <c r="AX399" i="8" s="1"/>
  <c r="N399" i="8" s="1"/>
  <c r="AH385" i="8"/>
  <c r="AT385" i="8" s="1"/>
  <c r="J385" i="8" s="1"/>
  <c r="AI385" i="8"/>
  <c r="AU385" i="8" s="1"/>
  <c r="K385" i="8" s="1"/>
  <c r="AA385" i="8"/>
  <c r="AY385" i="8" s="1"/>
  <c r="AG382" i="8"/>
  <c r="AS382" i="8" s="1"/>
  <c r="I382" i="8" s="1"/>
  <c r="AL382" i="8"/>
  <c r="AX382" i="8" s="1"/>
  <c r="N382" i="8" s="1"/>
  <c r="AA382" i="8"/>
  <c r="AK371" i="8"/>
  <c r="AE370" i="8"/>
  <c r="AQ370" i="8" s="1"/>
  <c r="G370" i="8" s="1"/>
  <c r="AK362" i="8"/>
  <c r="AE361" i="8"/>
  <c r="AQ361" i="8" s="1"/>
  <c r="G361" i="8" s="1"/>
  <c r="AK352" i="8"/>
  <c r="AE349" i="8"/>
  <c r="AQ349" i="8" s="1"/>
  <c r="G349" i="8" s="1"/>
  <c r="AK349" i="8"/>
  <c r="AA349" i="8"/>
  <c r="AL338" i="8"/>
  <c r="AX338" i="8" s="1"/>
  <c r="N338" i="8" s="1"/>
  <c r="AK321" i="8"/>
  <c r="AA321" i="8"/>
  <c r="AE318" i="8"/>
  <c r="AQ318" i="8" s="1"/>
  <c r="G318" i="8" s="1"/>
  <c r="AA318" i="8"/>
  <c r="AK316" i="8"/>
  <c r="AE312" i="8"/>
  <c r="AQ312" i="8" s="1"/>
  <c r="G312" i="8" s="1"/>
  <c r="AK301" i="8"/>
  <c r="AI301" i="8"/>
  <c r="AE298" i="8"/>
  <c r="AQ298" i="8" s="1"/>
  <c r="G298" i="8" s="1"/>
  <c r="AK295" i="8"/>
  <c r="AE295" i="8"/>
  <c r="AQ295" i="8" s="1"/>
  <c r="G295" i="8" s="1"/>
  <c r="AE286" i="8"/>
  <c r="AQ286" i="8" s="1"/>
  <c r="G286" i="8" s="1"/>
  <c r="AK284" i="8"/>
  <c r="AK281" i="8"/>
  <c r="AE277" i="8"/>
  <c r="AQ277" i="8" s="1"/>
  <c r="G277" i="8" s="1"/>
  <c r="AI271" i="8"/>
  <c r="AK264" i="8"/>
  <c r="AK263" i="8"/>
  <c r="AL263" i="8"/>
  <c r="AA263" i="8"/>
  <c r="AM236" i="8"/>
  <c r="AI234" i="8"/>
  <c r="AM232" i="8"/>
  <c r="AK227" i="8"/>
  <c r="AM214" i="8"/>
  <c r="AI209" i="8"/>
  <c r="AG198" i="8"/>
  <c r="AS198" i="8" s="1"/>
  <c r="I198" i="8" s="1"/>
  <c r="AI198" i="8"/>
  <c r="AU198" i="8" s="1"/>
  <c r="K198" i="8" s="1"/>
  <c r="AA198" i="8"/>
  <c r="AY198" i="8" s="1"/>
  <c r="AE193" i="8"/>
  <c r="AQ193" i="8" s="1"/>
  <c r="G193" i="8" s="1"/>
  <c r="AI189" i="8"/>
  <c r="AF167" i="8"/>
  <c r="AR167" i="8" s="1"/>
  <c r="H167" i="8" s="1"/>
  <c r="AI167" i="8"/>
  <c r="AK167" i="8"/>
  <c r="AM167" i="8"/>
  <c r="AM162" i="8"/>
  <c r="AK155" i="8"/>
  <c r="AI152" i="8"/>
  <c r="AF152" i="8"/>
  <c r="AR152" i="8" s="1"/>
  <c r="H152" i="8" s="1"/>
  <c r="AG152" i="8"/>
  <c r="AS152" i="8" s="1"/>
  <c r="I152" i="8" s="1"/>
  <c r="AK141" i="8"/>
  <c r="AK135" i="8"/>
  <c r="AI135" i="8"/>
  <c r="AM109" i="8"/>
  <c r="AM106" i="8"/>
  <c r="AY106" i="8" s="1"/>
  <c r="O106" i="8" s="1"/>
  <c r="AE99" i="8"/>
  <c r="AQ99" i="8" s="1"/>
  <c r="G99" i="8" s="1"/>
  <c r="AG96" i="8"/>
  <c r="AS96" i="8" s="1"/>
  <c r="I96" i="8" s="1"/>
  <c r="AE96" i="8"/>
  <c r="AB96" i="8"/>
  <c r="S96" i="8"/>
  <c r="AE84" i="8"/>
  <c r="AQ84" i="8" s="1"/>
  <c r="G84" i="8" s="1"/>
  <c r="AE81" i="8"/>
  <c r="AQ81" i="8" s="1"/>
  <c r="G81" i="8" s="1"/>
  <c r="AI71" i="8"/>
  <c r="AB71" i="8"/>
  <c r="V71" i="8"/>
  <c r="AE69" i="8"/>
  <c r="AQ69" i="8" s="1"/>
  <c r="G69" i="8" s="1"/>
  <c r="AI69" i="8"/>
  <c r="AG69" i="8"/>
  <c r="AB69" i="8"/>
  <c r="T69" i="8"/>
  <c r="U69" i="8"/>
  <c r="AO38" i="8"/>
  <c r="AK32" i="8"/>
  <c r="AI25" i="8"/>
  <c r="U185" i="8"/>
  <c r="AB169" i="8"/>
  <c r="X154" i="8"/>
  <c r="U151" i="8"/>
  <c r="V132" i="8"/>
  <c r="V125" i="8"/>
  <c r="AA98" i="8"/>
  <c r="S51" i="8"/>
  <c r="AL406" i="8"/>
  <c r="AX406" i="8" s="1"/>
  <c r="N406" i="8" s="1"/>
  <c r="AA406" i="8"/>
  <c r="AF402" i="8"/>
  <c r="AR402" i="8" s="1"/>
  <c r="H402" i="8" s="1"/>
  <c r="AG402" i="8"/>
  <c r="AS402" i="8" s="1"/>
  <c r="I402" i="8" s="1"/>
  <c r="AA402" i="8"/>
  <c r="AY402" i="8" s="1"/>
  <c r="AF395" i="8"/>
  <c r="AR395" i="8" s="1"/>
  <c r="H395" i="8" s="1"/>
  <c r="AI395" i="8"/>
  <c r="AU395" i="8" s="1"/>
  <c r="K395" i="8" s="1"/>
  <c r="AA395" i="8"/>
  <c r="AL391" i="8"/>
  <c r="AX391" i="8" s="1"/>
  <c r="N391" i="8" s="1"/>
  <c r="AA391" i="8"/>
  <c r="AE379" i="8"/>
  <c r="AQ379" i="8" s="1"/>
  <c r="G379" i="8" s="1"/>
  <c r="AE355" i="8"/>
  <c r="AQ355" i="8" s="1"/>
  <c r="G355" i="8" s="1"/>
  <c r="AK338" i="8"/>
  <c r="AK327" i="8"/>
  <c r="AA327" i="8"/>
  <c r="AL315" i="8"/>
  <c r="AF315" i="8"/>
  <c r="AR315" i="8" s="1"/>
  <c r="H315" i="8" s="1"/>
  <c r="AA315" i="8"/>
  <c r="AK307" i="8"/>
  <c r="AG292" i="8"/>
  <c r="AS292" i="8" s="1"/>
  <c r="I292" i="8" s="1"/>
  <c r="AK292" i="8"/>
  <c r="AI260" i="8"/>
  <c r="AL232" i="8"/>
  <c r="AX232" i="8" s="1"/>
  <c r="N232" i="8" s="1"/>
  <c r="AM224" i="8"/>
  <c r="AF220" i="8"/>
  <c r="AR220" i="8" s="1"/>
  <c r="H220" i="8" s="1"/>
  <c r="AI208" i="8"/>
  <c r="AU208" i="8" s="1"/>
  <c r="K208" i="8" s="1"/>
  <c r="AM208" i="8"/>
  <c r="AA208" i="8"/>
  <c r="AN185" i="8"/>
  <c r="AZ185" i="8" s="1"/>
  <c r="P185" i="8" s="1"/>
  <c r="AM180" i="8"/>
  <c r="AK175" i="8"/>
  <c r="AI175" i="8"/>
  <c r="AE175" i="8"/>
  <c r="AQ175" i="8" s="1"/>
  <c r="G175" i="8" s="1"/>
  <c r="AM175" i="8"/>
  <c r="AG131" i="8"/>
  <c r="AS131" i="8" s="1"/>
  <c r="I131" i="8" s="1"/>
  <c r="AK109" i="8"/>
  <c r="AB102" i="8"/>
  <c r="U102" i="8"/>
  <c r="AG102" i="8"/>
  <c r="V102" i="8"/>
  <c r="AI79" i="8"/>
  <c r="AB79" i="8"/>
  <c r="AE79" i="8"/>
  <c r="S79" i="8"/>
  <c r="AG54" i="8"/>
  <c r="AS54" i="8" s="1"/>
  <c r="I54" i="8" s="1"/>
  <c r="AI54" i="8"/>
  <c r="AB54" i="8"/>
  <c r="AE54" i="8"/>
  <c r="AF54" i="8"/>
  <c r="AR54" i="8" s="1"/>
  <c r="H54" i="8" s="1"/>
  <c r="S54" i="8"/>
  <c r="AI40" i="8"/>
  <c r="AI29" i="8"/>
  <c r="AK12" i="8"/>
  <c r="AF12" i="8"/>
  <c r="AR12" i="8" s="1"/>
  <c r="H12" i="8" s="1"/>
  <c r="AM12" i="8"/>
  <c r="AK312" i="8"/>
  <c r="AG286" i="8"/>
  <c r="AS286" i="8" s="1"/>
  <c r="I286" i="8" s="1"/>
  <c r="AE244" i="8"/>
  <c r="AQ244" i="8" s="1"/>
  <c r="G244" i="8" s="1"/>
  <c r="AI244" i="8"/>
  <c r="AG212" i="8"/>
  <c r="AS212" i="8" s="1"/>
  <c r="I212" i="8" s="1"/>
  <c r="AF206" i="8"/>
  <c r="AR206" i="8" s="1"/>
  <c r="H206" i="8" s="1"/>
  <c r="AG179" i="8"/>
  <c r="AS179" i="8" s="1"/>
  <c r="I179" i="8" s="1"/>
  <c r="AK179" i="8"/>
  <c r="AK169" i="8"/>
  <c r="AK99" i="8"/>
  <c r="AB99" i="8"/>
  <c r="AZ99" i="8" s="1"/>
  <c r="T99" i="8"/>
  <c r="U99" i="8"/>
  <c r="AE89" i="8"/>
  <c r="AQ89" i="8" s="1"/>
  <c r="G89" i="8" s="1"/>
  <c r="AK89" i="8"/>
  <c r="AB89" i="8"/>
  <c r="X89" i="8"/>
  <c r="AI89" i="8"/>
  <c r="AG84" i="8"/>
  <c r="AB84" i="8"/>
  <c r="U84" i="8"/>
  <c r="V84" i="8"/>
  <c r="T81" i="8"/>
  <c r="U81" i="8"/>
  <c r="AK78" i="8"/>
  <c r="AG45" i="8"/>
  <c r="AB45" i="8"/>
  <c r="U45" i="8"/>
  <c r="V45" i="8"/>
  <c r="AK42" i="8"/>
  <c r="AE42" i="8"/>
  <c r="AB42" i="8"/>
  <c r="AG42" i="8"/>
  <c r="AS42" i="8" s="1"/>
  <c r="I42" i="8" s="1"/>
  <c r="S42" i="8"/>
  <c r="T42" i="8"/>
  <c r="AE7" i="8"/>
  <c r="AQ7" i="8" s="1"/>
  <c r="G7" i="8" s="1"/>
  <c r="AI7" i="8"/>
  <c r="AB7" i="8"/>
  <c r="AI404" i="8"/>
  <c r="AU404" i="8" s="1"/>
  <c r="K404" i="8" s="1"/>
  <c r="AF404" i="8"/>
  <c r="AR404" i="8" s="1"/>
  <c r="H404" i="8" s="1"/>
  <c r="AG404" i="8"/>
  <c r="AS404" i="8" s="1"/>
  <c r="I404" i="8" s="1"/>
  <c r="AA404" i="8"/>
  <c r="AD397" i="8"/>
  <c r="AP397" i="8" s="1"/>
  <c r="F397" i="8" s="1"/>
  <c r="AI397" i="8"/>
  <c r="AU397" i="8" s="1"/>
  <c r="K397" i="8" s="1"/>
  <c r="AA397" i="8"/>
  <c r="AK377" i="8"/>
  <c r="AA350" i="8"/>
  <c r="AK324" i="8"/>
  <c r="AL322" i="8"/>
  <c r="AX322" i="8" s="1"/>
  <c r="N322" i="8" s="1"/>
  <c r="AA322" i="8"/>
  <c r="AK302" i="8"/>
  <c r="AG296" i="8"/>
  <c r="AS296" i="8" s="1"/>
  <c r="I296" i="8" s="1"/>
  <c r="AJ281" i="8"/>
  <c r="AG239" i="8"/>
  <c r="AS239" i="8" s="1"/>
  <c r="I239" i="8" s="1"/>
  <c r="AI228" i="8"/>
  <c r="AK211" i="8"/>
  <c r="AG209" i="8"/>
  <c r="AS209" i="8" s="1"/>
  <c r="I209" i="8" s="1"/>
  <c r="AL195" i="8"/>
  <c r="AG190" i="8"/>
  <c r="AS190" i="8" s="1"/>
  <c r="I190" i="8" s="1"/>
  <c r="AI188" i="8"/>
  <c r="AI181" i="8"/>
  <c r="AM178" i="8"/>
  <c r="AI176" i="8"/>
  <c r="AF176" i="8"/>
  <c r="AR176" i="8" s="1"/>
  <c r="H176" i="8" s="1"/>
  <c r="AI157" i="8"/>
  <c r="AM157" i="8"/>
  <c r="AF157" i="8"/>
  <c r="AR157" i="8" s="1"/>
  <c r="H157" i="8" s="1"/>
  <c r="AF154" i="8"/>
  <c r="AR154" i="8" s="1"/>
  <c r="H154" i="8" s="1"/>
  <c r="AK151" i="8"/>
  <c r="AI134" i="8"/>
  <c r="AI120" i="8"/>
  <c r="AU120" i="8" s="1"/>
  <c r="K120" i="8" s="1"/>
  <c r="AI118" i="8"/>
  <c r="AG109" i="8"/>
  <c r="AS109" i="8" s="1"/>
  <c r="I109" i="8" s="1"/>
  <c r="AB103" i="8"/>
  <c r="V103" i="8"/>
  <c r="AE87" i="8"/>
  <c r="AQ87" i="8" s="1"/>
  <c r="G87" i="8" s="1"/>
  <c r="AB87" i="8"/>
  <c r="AG70" i="8"/>
  <c r="AK70" i="8"/>
  <c r="AB70" i="8"/>
  <c r="U70" i="8"/>
  <c r="V70" i="8"/>
  <c r="AI65" i="8"/>
  <c r="AF65" i="8"/>
  <c r="AR65" i="8" s="1"/>
  <c r="H65" i="8" s="1"/>
  <c r="AB65" i="8"/>
  <c r="AI61" i="8"/>
  <c r="AG46" i="8"/>
  <c r="AS46" i="8" s="1"/>
  <c r="I46" i="8" s="1"/>
  <c r="AK26" i="8"/>
  <c r="AE25" i="8"/>
  <c r="AQ25" i="8" s="1"/>
  <c r="G25" i="8" s="1"/>
  <c r="AM18" i="8"/>
  <c r="AK18" i="8"/>
  <c r="AG13" i="8"/>
  <c r="AS13" i="8" s="1"/>
  <c r="I13" i="8" s="1"/>
  <c r="AI6" i="8"/>
  <c r="AF338" i="8"/>
  <c r="AR338" i="8" s="1"/>
  <c r="H338" i="8" s="1"/>
  <c r="AA338" i="8"/>
  <c r="AA316" i="8"/>
  <c r="AA313" i="8"/>
  <c r="AI282" i="8"/>
  <c r="AG270" i="8"/>
  <c r="AS270" i="8" s="1"/>
  <c r="I270" i="8" s="1"/>
  <c r="AI265" i="8"/>
  <c r="AI264" i="8"/>
  <c r="AG248" i="8"/>
  <c r="AS248" i="8" s="1"/>
  <c r="I248" i="8" s="1"/>
  <c r="AD236" i="8"/>
  <c r="AK236" i="8"/>
  <c r="AW236" i="8" s="1"/>
  <c r="M236" i="8" s="1"/>
  <c r="AG232" i="8"/>
  <c r="AS232" i="8" s="1"/>
  <c r="I232" i="8" s="1"/>
  <c r="AF207" i="8"/>
  <c r="AR207" i="8" s="1"/>
  <c r="H207" i="8" s="1"/>
  <c r="AI207" i="8"/>
  <c r="AA207" i="8"/>
  <c r="AY207" i="8" s="1"/>
  <c r="AF190" i="8"/>
  <c r="AR190" i="8" s="1"/>
  <c r="H190" i="8" s="1"/>
  <c r="AG185" i="8"/>
  <c r="AM182" i="8"/>
  <c r="AI180" i="8"/>
  <c r="AI151" i="8"/>
  <c r="AI144" i="8"/>
  <c r="AG141" i="8"/>
  <c r="AS141" i="8" s="1"/>
  <c r="I141" i="8" s="1"/>
  <c r="AG139" i="8"/>
  <c r="AS139" i="8" s="1"/>
  <c r="I139" i="8" s="1"/>
  <c r="AI125" i="8"/>
  <c r="AG120" i="8"/>
  <c r="AS120" i="8" s="1"/>
  <c r="I120" i="8" s="1"/>
  <c r="AI106" i="8"/>
  <c r="AK106" i="8"/>
  <c r="AB106" i="8"/>
  <c r="AI104" i="8"/>
  <c r="AE95" i="8"/>
  <c r="AQ95" i="8" s="1"/>
  <c r="G95" i="8" s="1"/>
  <c r="AI95" i="8"/>
  <c r="AB95" i="8"/>
  <c r="AG95" i="8"/>
  <c r="AS95" i="8" s="1"/>
  <c r="I95" i="8" s="1"/>
  <c r="AE63" i="8"/>
  <c r="AQ63" i="8" s="1"/>
  <c r="G63" i="8" s="1"/>
  <c r="AB63" i="8"/>
  <c r="AG53" i="8"/>
  <c r="AS53" i="8" s="1"/>
  <c r="I53" i="8" s="1"/>
  <c r="AF46" i="8"/>
  <c r="AR46" i="8" s="1"/>
  <c r="H46" i="8" s="1"/>
  <c r="AK40" i="8"/>
  <c r="AG40" i="8"/>
  <c r="AS40" i="8" s="1"/>
  <c r="I40" i="8" s="1"/>
  <c r="AM40" i="8"/>
  <c r="AB40" i="8"/>
  <c r="AE35" i="8"/>
  <c r="AQ35" i="8" s="1"/>
  <c r="G35" i="8" s="1"/>
  <c r="AL32" i="8"/>
  <c r="AX32" i="8" s="1"/>
  <c r="AA32" i="8"/>
  <c r="AF399" i="8"/>
  <c r="AR399" i="8" s="1"/>
  <c r="H399" i="8" s="1"/>
  <c r="AG399" i="8"/>
  <c r="AS399" i="8" s="1"/>
  <c r="I399" i="8" s="1"/>
  <c r="AA399" i="8"/>
  <c r="AY399" i="8" s="1"/>
  <c r="AK384" i="8"/>
  <c r="AW384" i="8" s="1"/>
  <c r="M384" i="8" s="1"/>
  <c r="AE384" i="8"/>
  <c r="AQ384" i="8" s="1"/>
  <c r="G384" i="8" s="1"/>
  <c r="AF384" i="8"/>
  <c r="AR384" i="8" s="1"/>
  <c r="H384" i="8" s="1"/>
  <c r="AA384" i="8"/>
  <c r="AY384" i="8" s="1"/>
  <c r="AE381" i="8"/>
  <c r="AQ381" i="8" s="1"/>
  <c r="G381" i="8" s="1"/>
  <c r="AE375" i="8"/>
  <c r="AQ375" i="8" s="1"/>
  <c r="G375" i="8" s="1"/>
  <c r="AE366" i="8"/>
  <c r="AQ366" i="8" s="1"/>
  <c r="G366" i="8" s="1"/>
  <c r="AF320" i="8"/>
  <c r="AR320" i="8" s="1"/>
  <c r="H320" i="8" s="1"/>
  <c r="AA320" i="8"/>
  <c r="AE300" i="8"/>
  <c r="AQ300" i="8" s="1"/>
  <c r="G300" i="8" s="1"/>
  <c r="AI287" i="8"/>
  <c r="AK287" i="8"/>
  <c r="AK280" i="8"/>
  <c r="AF273" i="8"/>
  <c r="AR273" i="8" s="1"/>
  <c r="H273" i="8" s="1"/>
  <c r="AE262" i="8"/>
  <c r="AQ262" i="8" s="1"/>
  <c r="G262" i="8" s="1"/>
  <c r="AG262" i="8"/>
  <c r="AS262" i="8" s="1"/>
  <c r="I262" i="8" s="1"/>
  <c r="AK259" i="8"/>
  <c r="AE256" i="8"/>
  <c r="AQ256" i="8" s="1"/>
  <c r="G256" i="8" s="1"/>
  <c r="AF248" i="8"/>
  <c r="AR248" i="8" s="1"/>
  <c r="H248" i="8" s="1"/>
  <c r="AG245" i="8"/>
  <c r="AS245" i="8" s="1"/>
  <c r="I245" i="8" s="1"/>
  <c r="AM227" i="8"/>
  <c r="AG227" i="8"/>
  <c r="AS227" i="8" s="1"/>
  <c r="I227" i="8" s="1"/>
  <c r="AG223" i="8"/>
  <c r="AS223" i="8" s="1"/>
  <c r="I223" i="8" s="1"/>
  <c r="AK222" i="8"/>
  <c r="AA222" i="8"/>
  <c r="AK214" i="8"/>
  <c r="AI214" i="8"/>
  <c r="AI211" i="8"/>
  <c r="AL206" i="8"/>
  <c r="AL202" i="8"/>
  <c r="AA199" i="8"/>
  <c r="AG195" i="8"/>
  <c r="AS195" i="8" s="1"/>
  <c r="I195" i="8" s="1"/>
  <c r="AG192" i="8"/>
  <c r="AS192" i="8" s="1"/>
  <c r="I192" i="8" s="1"/>
  <c r="AG181" i="8"/>
  <c r="AS181" i="8" s="1"/>
  <c r="I181" i="8" s="1"/>
  <c r="AK178" i="8"/>
  <c r="AG151" i="8"/>
  <c r="AG149" i="8"/>
  <c r="AS149" i="8" s="1"/>
  <c r="I149" i="8" s="1"/>
  <c r="AF146" i="8"/>
  <c r="AR146" i="8" s="1"/>
  <c r="H146" i="8" s="1"/>
  <c r="AI146" i="8"/>
  <c r="AG122" i="8"/>
  <c r="AS122" i="8" s="1"/>
  <c r="I122" i="8" s="1"/>
  <c r="AF120" i="8"/>
  <c r="AR120" i="8" s="1"/>
  <c r="H120" i="8" s="1"/>
  <c r="AG118" i="8"/>
  <c r="AS118" i="8" s="1"/>
  <c r="I118" i="8" s="1"/>
  <c r="AF115" i="8"/>
  <c r="AR115" i="8" s="1"/>
  <c r="H115" i="8" s="1"/>
  <c r="AE115" i="8"/>
  <c r="AQ115" i="8" s="1"/>
  <c r="G115" i="8" s="1"/>
  <c r="AE109" i="8"/>
  <c r="AQ109" i="8" s="1"/>
  <c r="G109" i="8" s="1"/>
  <c r="AB85" i="8"/>
  <c r="V85" i="8"/>
  <c r="AE85" i="8"/>
  <c r="AQ85" i="8" s="1"/>
  <c r="G85" i="8" s="1"/>
  <c r="AK81" i="8"/>
  <c r="AK80" i="8"/>
  <c r="AF80" i="8"/>
  <c r="AB80" i="8"/>
  <c r="S80" i="8"/>
  <c r="T80" i="8"/>
  <c r="AG59" i="8"/>
  <c r="AF51" i="8"/>
  <c r="AD38" i="8"/>
  <c r="AP38" i="8" s="1"/>
  <c r="F38" i="8" s="1"/>
  <c r="AG38" i="8"/>
  <c r="AS38" i="8" s="1"/>
  <c r="I38" i="8" s="1"/>
  <c r="AE38" i="8"/>
  <c r="AQ38" i="8" s="1"/>
  <c r="G38" i="8" s="1"/>
  <c r="AF38" i="8"/>
  <c r="AR38" i="8" s="1"/>
  <c r="H38" i="8" s="1"/>
  <c r="AA38" i="8"/>
  <c r="AA30" i="8"/>
  <c r="AI24" i="8"/>
  <c r="AA388" i="8"/>
  <c r="AY388" i="8" s="1"/>
  <c r="AA337" i="8"/>
  <c r="AA319" i="8"/>
  <c r="AA304" i="8"/>
  <c r="U57" i="8"/>
  <c r="AD388" i="8"/>
  <c r="AP388" i="8" s="1"/>
  <c r="F388" i="8" s="1"/>
  <c r="AK229" i="8"/>
  <c r="AG229" i="8"/>
  <c r="AS229" i="8" s="1"/>
  <c r="I229" i="8" s="1"/>
  <c r="AE218" i="8"/>
  <c r="AQ218" i="8" s="1"/>
  <c r="G218" i="8" s="1"/>
  <c r="AK210" i="8"/>
  <c r="AG197" i="8"/>
  <c r="AS197" i="8" s="1"/>
  <c r="I197" i="8" s="1"/>
  <c r="AI194" i="8"/>
  <c r="AI191" i="8"/>
  <c r="AI177" i="8"/>
  <c r="AI156" i="8"/>
  <c r="AI130" i="8"/>
  <c r="AE127" i="8"/>
  <c r="AQ127" i="8" s="1"/>
  <c r="G127" i="8" s="1"/>
  <c r="AI121" i="8"/>
  <c r="AI91" i="8"/>
  <c r="AG91" i="8"/>
  <c r="AS91" i="8" s="1"/>
  <c r="I91" i="8" s="1"/>
  <c r="AB91" i="8"/>
  <c r="AK72" i="8"/>
  <c r="AE72" i="8"/>
  <c r="AQ72" i="8" s="1"/>
  <c r="G72" i="8" s="1"/>
  <c r="AB72" i="8"/>
  <c r="AK60" i="8"/>
  <c r="AI60" i="8"/>
  <c r="AB60" i="8"/>
  <c r="AK41" i="8"/>
  <c r="AB41" i="8"/>
  <c r="AB5" i="8"/>
  <c r="AE269" i="8"/>
  <c r="AQ269" i="8" s="1"/>
  <c r="G269" i="8" s="1"/>
  <c r="AG269" i="8"/>
  <c r="AS269" i="8" s="1"/>
  <c r="I269" i="8" s="1"/>
  <c r="AE250" i="8"/>
  <c r="AQ250" i="8" s="1"/>
  <c r="G250" i="8" s="1"/>
  <c r="AF250" i="8"/>
  <c r="AR250" i="8" s="1"/>
  <c r="H250" i="8" s="1"/>
  <c r="AI246" i="8"/>
  <c r="AG246" i="8"/>
  <c r="AS246" i="8" s="1"/>
  <c r="I246" i="8" s="1"/>
  <c r="AI164" i="8"/>
  <c r="AF164" i="8"/>
  <c r="AR164" i="8" s="1"/>
  <c r="H164" i="8" s="1"/>
  <c r="AG148" i="8"/>
  <c r="AS148" i="8" s="1"/>
  <c r="I148" i="8" s="1"/>
  <c r="AG142" i="8"/>
  <c r="AS142" i="8" s="1"/>
  <c r="I142" i="8" s="1"/>
  <c r="AK142" i="8"/>
  <c r="AM110" i="8"/>
  <c r="AF110" i="8"/>
  <c r="AR110" i="8" s="1"/>
  <c r="H110" i="8" s="1"/>
  <c r="AK66" i="8"/>
  <c r="AG57" i="8"/>
  <c r="AE57" i="8"/>
  <c r="AQ57" i="8" s="1"/>
  <c r="G57" i="8" s="1"/>
  <c r="AB57" i="8"/>
  <c r="AK31" i="8"/>
  <c r="AK21" i="8"/>
  <c r="AK216" i="8"/>
  <c r="AI203" i="8"/>
  <c r="AI186" i="8"/>
  <c r="AM173" i="8"/>
  <c r="AI173" i="8"/>
  <c r="AU173" i="8" s="1"/>
  <c r="K173" i="8" s="1"/>
  <c r="AI97" i="8"/>
  <c r="AE83" i="8"/>
  <c r="AQ83" i="8" s="1"/>
  <c r="G83" i="8" s="1"/>
  <c r="AE75" i="8"/>
  <c r="AQ75" i="8" s="1"/>
  <c r="G75" i="8" s="1"/>
  <c r="AM75" i="8"/>
  <c r="BC227" i="1"/>
  <c r="BC363" i="1"/>
  <c r="BC51" i="1"/>
  <c r="BC362" i="1"/>
  <c r="BC30" i="1"/>
  <c r="BC105" i="1"/>
  <c r="BC386" i="1"/>
  <c r="H40" i="3"/>
  <c r="BC150" i="1"/>
  <c r="BC358" i="1"/>
  <c r="BC404" i="1"/>
  <c r="BC173" i="1"/>
  <c r="BC11" i="1"/>
  <c r="BC451" i="1"/>
  <c r="BC306" i="1"/>
  <c r="BC169" i="1"/>
  <c r="BC15" i="1"/>
  <c r="BC132" i="1"/>
  <c r="BC294" i="1"/>
  <c r="BC380" i="1"/>
  <c r="BC387" i="1"/>
  <c r="BC360" i="1"/>
  <c r="BC287" i="1"/>
  <c r="BC170" i="1"/>
  <c r="BC414" i="1"/>
  <c r="BC437" i="1"/>
  <c r="BC101" i="1"/>
  <c r="BC208" i="1"/>
  <c r="BC34" i="1"/>
  <c r="BC332" i="1"/>
  <c r="BC304" i="1"/>
  <c r="BC292" i="1"/>
  <c r="BC102" i="1"/>
  <c r="BC28" i="1"/>
  <c r="BC120" i="1"/>
  <c r="BC121" i="1"/>
  <c r="BC124" i="1"/>
  <c r="BC301" i="1"/>
  <c r="BC32" i="1"/>
  <c r="BC273" i="1"/>
  <c r="BC36" i="1"/>
  <c r="BC282" i="1"/>
  <c r="BC109" i="1"/>
  <c r="BC4" i="1"/>
  <c r="BC303" i="1"/>
  <c r="BC129" i="1"/>
  <c r="BC79" i="1"/>
  <c r="BC357" i="1"/>
  <c r="BC453" i="1"/>
  <c r="BC280" i="1"/>
  <c r="BC149" i="1"/>
  <c r="BC243" i="1"/>
  <c r="BC412" i="1"/>
  <c r="BC305" i="1"/>
  <c r="BC39" i="1"/>
  <c r="BC44" i="1"/>
  <c r="BC46" i="1"/>
  <c r="BC456" i="1"/>
  <c r="BC419" i="1"/>
  <c r="BC325" i="1"/>
  <c r="BC134" i="1"/>
  <c r="BC24" i="1"/>
  <c r="AN388" i="5"/>
  <c r="BC428" i="1"/>
  <c r="BC2" i="1"/>
  <c r="AN389" i="5"/>
  <c r="BC175" i="1"/>
  <c r="BC163" i="1"/>
  <c r="BC231" i="1"/>
  <c r="D330" i="4"/>
  <c r="E347" i="5" s="1"/>
  <c r="D346" i="4"/>
  <c r="E340" i="5" s="1"/>
  <c r="T27" i="4" a="1"/>
  <c r="T27" i="4" s="1"/>
  <c r="AC264" i="5" s="1"/>
  <c r="AL273" i="8" s="1"/>
  <c r="AX273" i="8" s="1"/>
  <c r="N273" i="8" s="1"/>
  <c r="U27" i="4" a="1"/>
  <c r="U27" i="4" s="1"/>
  <c r="AD264" i="5" s="1"/>
  <c r="U230" i="4" a="1"/>
  <c r="U230" i="4" s="1"/>
  <c r="AD220" i="5" s="1"/>
  <c r="U16" i="4" a="1"/>
  <c r="U16" i="4" s="1"/>
  <c r="AD183" i="5" s="1"/>
  <c r="T20" i="4" a="1"/>
  <c r="T20" i="4" s="1"/>
  <c r="AC187" i="5" s="1"/>
  <c r="U18" i="4" a="1"/>
  <c r="U18" i="4" s="1"/>
  <c r="AD185" i="5" s="1"/>
  <c r="U15" i="4" a="1"/>
  <c r="U15" i="4" s="1"/>
  <c r="AD181" i="5" s="1"/>
  <c r="D99" i="4"/>
  <c r="E166" i="5" s="1"/>
  <c r="AD189" i="8" s="1"/>
  <c r="AD54" i="2"/>
  <c r="AQ19" i="5"/>
  <c r="AS20" i="5"/>
  <c r="AK55" i="2"/>
  <c r="AD55" i="2"/>
  <c r="BC216" i="1"/>
  <c r="BC65" i="1"/>
  <c r="BC457" i="1"/>
  <c r="BC60" i="1"/>
  <c r="BC166" i="1"/>
  <c r="BC210" i="1"/>
  <c r="BC20" i="1"/>
  <c r="BC444" i="1"/>
  <c r="BC63" i="1"/>
  <c r="BC377" i="1"/>
  <c r="BC346" i="1"/>
  <c r="BC5" i="1"/>
  <c r="BC422" i="1"/>
  <c r="BC308" i="1"/>
  <c r="AS240" i="5"/>
  <c r="AK75" i="2"/>
  <c r="BC315" i="1"/>
  <c r="BC389" i="1"/>
  <c r="AQ299" i="5"/>
  <c r="AD59" i="2"/>
  <c r="AQ386" i="5"/>
  <c r="BC26" i="1"/>
  <c r="H6" i="13"/>
  <c r="G6" i="13"/>
  <c r="BC167" i="1"/>
  <c r="G28" i="3"/>
  <c r="T167" i="4" s="1" a="1"/>
  <c r="T167" i="4" s="1"/>
  <c r="AC247" i="5" s="1"/>
  <c r="AL258" i="8" s="1"/>
  <c r="AX258" i="8" s="1"/>
  <c r="N258" i="8" s="1"/>
  <c r="H28" i="3"/>
  <c r="U297" i="4" s="1" a="1"/>
  <c r="U297" i="4" s="1"/>
  <c r="AD272" i="5" s="1"/>
  <c r="G15" i="3"/>
  <c r="T63" i="4" s="1" a="1"/>
  <c r="T63" i="4" s="1"/>
  <c r="AC270" i="5" s="1"/>
  <c r="AL278" i="8" s="1"/>
  <c r="H15" i="3"/>
  <c r="U189" i="4" s="1" a="1"/>
  <c r="U189" i="4" s="1"/>
  <c r="AD167" i="5" s="1"/>
  <c r="BC203" i="1"/>
  <c r="G27" i="3"/>
  <c r="T45" i="4" s="1" a="1"/>
  <c r="T45" i="4" s="1"/>
  <c r="AC31" i="5" s="1"/>
  <c r="AL5" i="8" s="1"/>
  <c r="H27" i="3"/>
  <c r="U45" i="4" s="1" a="1"/>
  <c r="U45" i="4" s="1"/>
  <c r="AD31" i="5" s="1"/>
  <c r="G14" i="3"/>
  <c r="H14" i="3"/>
  <c r="BC343" i="1"/>
  <c r="G39" i="3"/>
  <c r="T108" i="4" s="1" a="1"/>
  <c r="T108" i="4" s="1"/>
  <c r="AC60" i="5" s="1"/>
  <c r="AL89" i="8" s="1"/>
  <c r="H39" i="3"/>
  <c r="U108" i="4" s="1" a="1"/>
  <c r="U108" i="4" s="1"/>
  <c r="AD60" i="5" s="1"/>
  <c r="G26" i="3"/>
  <c r="T191" i="4" s="1" a="1"/>
  <c r="T191" i="4" s="1"/>
  <c r="AC282" i="5" s="1"/>
  <c r="AL289" i="8" s="1"/>
  <c r="H26" i="3"/>
  <c r="U64" i="4" s="1" a="1"/>
  <c r="U64" i="4" s="1"/>
  <c r="AD3" i="5" s="1"/>
  <c r="G13" i="3"/>
  <c r="T245" i="4" s="1" a="1"/>
  <c r="T245" i="4" s="1"/>
  <c r="AC229" i="5" s="1"/>
  <c r="AL241" i="8" s="1"/>
  <c r="H13" i="3"/>
  <c r="AI66" i="2"/>
  <c r="D78" i="2"/>
  <c r="D108" i="4" s="1"/>
  <c r="E60" i="5" s="1"/>
  <c r="P78" i="2"/>
  <c r="P108" i="4" s="1"/>
  <c r="W60" i="5" s="1"/>
  <c r="AJ89" i="8" s="1"/>
  <c r="E78" i="2"/>
  <c r="E108" i="4" s="1"/>
  <c r="Q78" i="2"/>
  <c r="Q108" i="4" s="1"/>
  <c r="X60" i="5" s="1"/>
  <c r="F78" i="2"/>
  <c r="F108" i="4" s="1"/>
  <c r="R78" i="2"/>
  <c r="R108" i="4" s="1"/>
  <c r="G78" i="2"/>
  <c r="S78" i="2"/>
  <c r="S108" i="4" s="1"/>
  <c r="AA60" i="5" s="1"/>
  <c r="H78" i="2"/>
  <c r="H108" i="4" s="1"/>
  <c r="K60" i="5" s="1"/>
  <c r="T78" i="2"/>
  <c r="I78" i="2"/>
  <c r="I108" i="4" s="1"/>
  <c r="U78" i="2"/>
  <c r="J78" i="2"/>
  <c r="J108" i="4" s="1"/>
  <c r="V78" i="2"/>
  <c r="K78" i="2"/>
  <c r="W78" i="2"/>
  <c r="L78" i="2"/>
  <c r="L108" i="4" s="1"/>
  <c r="Q60" i="5" s="1"/>
  <c r="AH89" i="8" s="1"/>
  <c r="AT89" i="8" s="1"/>
  <c r="J89" i="8" s="1"/>
  <c r="X78" i="2"/>
  <c r="X108" i="4" s="1"/>
  <c r="AI60" i="5" s="1"/>
  <c r="AN89" i="8" s="1"/>
  <c r="M78" i="2"/>
  <c r="M108" i="4" s="1"/>
  <c r="R60" i="5" s="1"/>
  <c r="Y78" i="2"/>
  <c r="Y108" i="4" s="1"/>
  <c r="AJ60" i="5" s="1"/>
  <c r="N78" i="2"/>
  <c r="Z78" i="2"/>
  <c r="Z108" i="4" s="1"/>
  <c r="AL60" i="5" s="1"/>
  <c r="C78" i="2"/>
  <c r="C108" i="4" s="1"/>
  <c r="C60" i="5" s="1"/>
  <c r="R89" i="8" s="1"/>
  <c r="O78" i="2"/>
  <c r="BC350" i="1"/>
  <c r="G38" i="3"/>
  <c r="T115" i="4" s="1" a="1"/>
  <c r="T115" i="4" s="1"/>
  <c r="AC161" i="5" s="1"/>
  <c r="AL184" i="8" s="1"/>
  <c r="AX184" i="8" s="1"/>
  <c r="N184" i="8" s="1"/>
  <c r="H38" i="3"/>
  <c r="U115" i="4" s="1" a="1"/>
  <c r="U115" i="4" s="1"/>
  <c r="AD161" i="5" s="1"/>
  <c r="G24" i="3"/>
  <c r="H24" i="3"/>
  <c r="G12" i="3"/>
  <c r="T68" i="4" s="1" a="1"/>
  <c r="T68" i="4" s="1"/>
  <c r="AC165" i="5" s="1"/>
  <c r="AL188" i="8" s="1"/>
  <c r="H12" i="3"/>
  <c r="U67" i="4" s="1" a="1"/>
  <c r="U67" i="4" s="1"/>
  <c r="AD164" i="5" s="1"/>
  <c r="G37" i="3"/>
  <c r="T76" i="4" s="1" a="1"/>
  <c r="T76" i="4" s="1"/>
  <c r="AC115" i="5" s="1"/>
  <c r="AL143" i="8" s="1"/>
  <c r="AX143" i="8" s="1"/>
  <c r="N143" i="8" s="1"/>
  <c r="H37" i="3"/>
  <c r="U107" i="4" s="1" a="1"/>
  <c r="U107" i="4" s="1"/>
  <c r="AD59" i="5" s="1"/>
  <c r="G23" i="3"/>
  <c r="T275" i="4" s="1" a="1"/>
  <c r="T275" i="4" s="1"/>
  <c r="AC300" i="5" s="1"/>
  <c r="H23" i="3"/>
  <c r="G11" i="3"/>
  <c r="H11" i="3"/>
  <c r="U237" i="4" s="1" a="1"/>
  <c r="U237" i="4" s="1"/>
  <c r="AD104" i="5" s="1"/>
  <c r="BC95" i="1"/>
  <c r="G36" i="3"/>
  <c r="T104" i="4" s="1" a="1"/>
  <c r="T104" i="4" s="1"/>
  <c r="AC56" i="5" s="1"/>
  <c r="AL85" i="8" s="1"/>
  <c r="H36" i="3"/>
  <c r="U28" i="4" s="1" a="1"/>
  <c r="U28" i="4" s="1"/>
  <c r="AD97" i="5" s="1"/>
  <c r="G22" i="3"/>
  <c r="H22" i="3"/>
  <c r="G10" i="3"/>
  <c r="I10" i="3" s="1"/>
  <c r="H10" i="3"/>
  <c r="J10" i="3" s="1"/>
  <c r="D79" i="2"/>
  <c r="D314" i="4" s="1"/>
  <c r="E313" i="5" s="1"/>
  <c r="P79" i="2"/>
  <c r="E79" i="2"/>
  <c r="Q79" i="2"/>
  <c r="F79" i="2"/>
  <c r="R79" i="2"/>
  <c r="G79" i="2"/>
  <c r="S79" i="2"/>
  <c r="S315" i="4" s="1"/>
  <c r="AA316" i="5" s="1"/>
  <c r="H79" i="2"/>
  <c r="T79" i="2"/>
  <c r="I79" i="2"/>
  <c r="U79" i="2"/>
  <c r="J79" i="2"/>
  <c r="J314" i="4" s="1"/>
  <c r="N313" i="5" s="1"/>
  <c r="V79" i="2"/>
  <c r="V339" i="4" s="1"/>
  <c r="AF319" i="5" s="1"/>
  <c r="K79" i="2"/>
  <c r="W79" i="2"/>
  <c r="L79" i="2"/>
  <c r="X79" i="2"/>
  <c r="M79" i="2"/>
  <c r="Y79" i="2"/>
  <c r="N79" i="2"/>
  <c r="N347" i="4" s="1"/>
  <c r="T336" i="5" s="1"/>
  <c r="AI336" i="8" s="1"/>
  <c r="Z79" i="2"/>
  <c r="C79" i="2"/>
  <c r="O79" i="2"/>
  <c r="O339" i="4" s="1"/>
  <c r="U319" i="5" s="1"/>
  <c r="G35" i="3"/>
  <c r="T109" i="4" s="1" a="1"/>
  <c r="T109" i="4" s="1"/>
  <c r="AC65" i="5" s="1"/>
  <c r="AL94" i="8" s="1"/>
  <c r="AX94" i="8" s="1"/>
  <c r="N94" i="8" s="1"/>
  <c r="H35" i="3"/>
  <c r="U116" i="4" s="1" a="1"/>
  <c r="U116" i="4" s="1"/>
  <c r="AD256" i="5" s="1"/>
  <c r="G21" i="3"/>
  <c r="I21" i="3" s="1"/>
  <c r="H21" i="3"/>
  <c r="J21" i="3" s="1"/>
  <c r="G8" i="3"/>
  <c r="H8" i="3"/>
  <c r="D77" i="2"/>
  <c r="D79" i="4" s="1"/>
  <c r="E131" i="5" s="1"/>
  <c r="AD156" i="8" s="1"/>
  <c r="P77" i="2"/>
  <c r="E77" i="2"/>
  <c r="E79" i="4" s="1"/>
  <c r="F131" i="5" s="1"/>
  <c r="Q77" i="2"/>
  <c r="F77" i="2"/>
  <c r="R77" i="2"/>
  <c r="G77" i="2"/>
  <c r="S77" i="2"/>
  <c r="H77" i="2"/>
  <c r="H79" i="4" s="1"/>
  <c r="K131" i="5" s="1"/>
  <c r="T77" i="2"/>
  <c r="I77" i="2"/>
  <c r="U77" i="2"/>
  <c r="J77" i="2"/>
  <c r="V77" i="2"/>
  <c r="V110" i="4" s="1"/>
  <c r="AF88" i="5" s="1"/>
  <c r="K77" i="2"/>
  <c r="W77" i="2"/>
  <c r="L77" i="2"/>
  <c r="L110" i="4" s="1"/>
  <c r="Q88" i="5" s="1"/>
  <c r="AH117" i="8" s="1"/>
  <c r="AT117" i="8" s="1"/>
  <c r="J117" i="8" s="1"/>
  <c r="X77" i="2"/>
  <c r="M77" i="2"/>
  <c r="M31" i="4" s="1"/>
  <c r="R127" i="5" s="1"/>
  <c r="Y77" i="2"/>
  <c r="N77" i="2"/>
  <c r="Z77" i="2"/>
  <c r="C77" i="2"/>
  <c r="O77" i="2"/>
  <c r="O79" i="4" s="1"/>
  <c r="U131" i="5" s="1"/>
  <c r="C276" i="4"/>
  <c r="C302" i="5" s="1"/>
  <c r="BC429" i="1"/>
  <c r="G34" i="3"/>
  <c r="T57" i="4" s="1" a="1"/>
  <c r="T57" i="4" s="1"/>
  <c r="AC257" i="5" s="1"/>
  <c r="AL266" i="8" s="1"/>
  <c r="AX266" i="8" s="1"/>
  <c r="N266" i="8" s="1"/>
  <c r="H34" i="3"/>
  <c r="U12" i="4" s="1" a="1"/>
  <c r="U12" i="4" s="1"/>
  <c r="AD263" i="5" s="1"/>
  <c r="G20" i="3"/>
  <c r="H20" i="3"/>
  <c r="G7" i="3"/>
  <c r="H7" i="3"/>
  <c r="G33" i="3"/>
  <c r="T88" i="4" s="1" a="1"/>
  <c r="T88" i="4" s="1"/>
  <c r="AC44" i="5" s="1"/>
  <c r="AL75" i="8" s="1"/>
  <c r="AX75" i="8" s="1"/>
  <c r="N75" i="8" s="1"/>
  <c r="H33" i="3"/>
  <c r="U183" i="4" s="1" a="1"/>
  <c r="U183" i="4" s="1"/>
  <c r="AD271" i="5" s="1"/>
  <c r="G19" i="3"/>
  <c r="H19" i="3"/>
  <c r="G6" i="3"/>
  <c r="H6" i="3"/>
  <c r="U176" i="4" s="1" a="1"/>
  <c r="U176" i="4" s="1"/>
  <c r="AD267" i="5" s="1"/>
  <c r="BC143" i="1"/>
  <c r="G32" i="3"/>
  <c r="T38" i="4" s="1" a="1"/>
  <c r="T38" i="4" s="1"/>
  <c r="AC63" i="5" s="1"/>
  <c r="AL92" i="8" s="1"/>
  <c r="H32" i="3"/>
  <c r="U216" i="4" s="1" a="1"/>
  <c r="U216" i="4" s="1"/>
  <c r="AD223" i="5" s="1"/>
  <c r="G18" i="3"/>
  <c r="T197" i="4" s="1" a="1"/>
  <c r="T197" i="4" s="1"/>
  <c r="AC234" i="5" s="1"/>
  <c r="AL246" i="8" s="1"/>
  <c r="H18" i="3"/>
  <c r="U143" i="4" s="1" a="1"/>
  <c r="U143" i="4" s="1"/>
  <c r="AD126" i="5" s="1"/>
  <c r="BC349" i="1"/>
  <c r="G31" i="3"/>
  <c r="T26" i="4" s="1" a="1"/>
  <c r="T26" i="4" s="1"/>
  <c r="AC49" i="5" s="1"/>
  <c r="AL7" i="8" s="1"/>
  <c r="AX7" i="8" s="1"/>
  <c r="N7" i="8" s="1"/>
  <c r="H31" i="3"/>
  <c r="U133" i="4" s="1" a="1"/>
  <c r="U133" i="4" s="1"/>
  <c r="AD226" i="5" s="1"/>
  <c r="G17" i="3"/>
  <c r="T217" i="4" s="1" a="1"/>
  <c r="T217" i="4" s="1"/>
  <c r="AC227" i="5" s="1"/>
  <c r="AL240" i="8" s="1"/>
  <c r="AX240" i="8" s="1"/>
  <c r="N240" i="8" s="1"/>
  <c r="H17" i="3"/>
  <c r="U101" i="4" s="1" a="1"/>
  <c r="U101" i="4" s="1"/>
  <c r="AD35" i="5" s="1"/>
  <c r="G30" i="3"/>
  <c r="T226" i="4" s="1" a="1"/>
  <c r="T226" i="4" s="1"/>
  <c r="AC197" i="5" s="1"/>
  <c r="AL216" i="8" s="1"/>
  <c r="H30" i="3"/>
  <c r="G16" i="3"/>
  <c r="H16" i="3"/>
  <c r="U81" i="2"/>
  <c r="C81" i="2"/>
  <c r="C278" i="4" s="1"/>
  <c r="C139" i="5" s="1"/>
  <c r="O80" i="2"/>
  <c r="C80" i="2"/>
  <c r="O76" i="2"/>
  <c r="C76" i="2"/>
  <c r="C180" i="4" s="1"/>
  <c r="C87" i="5" s="1"/>
  <c r="P75" i="2"/>
  <c r="P163" i="4" s="1"/>
  <c r="W239" i="5" s="1"/>
  <c r="AJ251" i="8" s="1"/>
  <c r="D75" i="2"/>
  <c r="D163" i="4" s="1"/>
  <c r="E239" i="5" s="1"/>
  <c r="Q74" i="2"/>
  <c r="Q386" i="4" s="1"/>
  <c r="X385" i="5" s="1"/>
  <c r="D74" i="2"/>
  <c r="D386" i="4" s="1"/>
  <c r="E385" i="5" s="1"/>
  <c r="AP385" i="5" s="1"/>
  <c r="P73" i="2"/>
  <c r="P181" i="4" s="1"/>
  <c r="W10" i="5" s="1"/>
  <c r="AJ46" i="8" s="1"/>
  <c r="C73" i="2"/>
  <c r="C120" i="4" s="1"/>
  <c r="C93" i="5" s="1"/>
  <c r="P72" i="2"/>
  <c r="C72" i="2"/>
  <c r="O72" i="2"/>
  <c r="O239" i="4" s="1"/>
  <c r="U114" i="5" s="1"/>
  <c r="N71" i="2"/>
  <c r="Z70" i="2"/>
  <c r="M70" i="2"/>
  <c r="Y69" i="2"/>
  <c r="H69" i="2"/>
  <c r="H53" i="4" s="1"/>
  <c r="K43" i="5" s="1"/>
  <c r="S68" i="2"/>
  <c r="S21" i="4" s="1"/>
  <c r="AA91" i="5" s="1"/>
  <c r="E68" i="2"/>
  <c r="E21" i="4" s="1"/>
  <c r="Q67" i="2"/>
  <c r="Z66" i="2"/>
  <c r="Z119" i="4" s="1"/>
  <c r="AL241" i="5" s="1"/>
  <c r="L66" i="2"/>
  <c r="L119" i="4" s="1"/>
  <c r="Q241" i="5" s="1"/>
  <c r="AH252" i="8" s="1"/>
  <c r="AT252" i="8" s="1"/>
  <c r="J252" i="8" s="1"/>
  <c r="W65" i="2"/>
  <c r="W133" i="4" s="1"/>
  <c r="AG226" i="5" s="1"/>
  <c r="H65" i="2"/>
  <c r="H85" i="4" s="1"/>
  <c r="K224" i="5" s="1"/>
  <c r="AF237" i="8" s="1"/>
  <c r="AR237" i="8" s="1"/>
  <c r="H237" i="8" s="1"/>
  <c r="Q64" i="2"/>
  <c r="Q271" i="4" s="1"/>
  <c r="Z63" i="2"/>
  <c r="K63" i="2"/>
  <c r="R62" i="2"/>
  <c r="Z61" i="2"/>
  <c r="I61" i="2"/>
  <c r="S60" i="2"/>
  <c r="S304" i="4" s="1"/>
  <c r="AA304" i="5" s="1"/>
  <c r="X59" i="2"/>
  <c r="X86" i="4" s="1"/>
  <c r="AI299" i="5" s="1"/>
  <c r="H59" i="2"/>
  <c r="Q58" i="2"/>
  <c r="W57" i="2"/>
  <c r="W274" i="4" s="1"/>
  <c r="AG288" i="5" s="1"/>
  <c r="E57" i="2"/>
  <c r="K56" i="2"/>
  <c r="K276" i="4" s="1"/>
  <c r="O302" i="5" s="1"/>
  <c r="P55" i="2"/>
  <c r="P134" i="4" s="1"/>
  <c r="W20" i="5" s="1"/>
  <c r="V54" i="2"/>
  <c r="Z53" i="2"/>
  <c r="Z384" i="4" s="1"/>
  <c r="AL386" i="5" s="1"/>
  <c r="BA386" i="5" s="1"/>
  <c r="L53" i="2"/>
  <c r="L384" i="4" s="1"/>
  <c r="Q386" i="5" s="1"/>
  <c r="X53" i="2"/>
  <c r="X384" i="4" s="1"/>
  <c r="AI386" i="5" s="1"/>
  <c r="E53" i="2"/>
  <c r="E384" i="4" s="1"/>
  <c r="R53" i="2"/>
  <c r="R384" i="4" s="1"/>
  <c r="D53" i="2"/>
  <c r="D384" i="4" s="1"/>
  <c r="E386" i="5" s="1"/>
  <c r="AC53" i="2" s="1"/>
  <c r="S53" i="2"/>
  <c r="S384" i="4" s="1"/>
  <c r="AA386" i="5" s="1"/>
  <c r="AW386" i="5" s="1"/>
  <c r="H53" i="2"/>
  <c r="H384" i="4" s="1"/>
  <c r="K386" i="5" s="1"/>
  <c r="V53" i="2"/>
  <c r="V384" i="4" s="1"/>
  <c r="AF386" i="5" s="1"/>
  <c r="I53" i="2"/>
  <c r="I384" i="4" s="1"/>
  <c r="L386" i="5" s="1"/>
  <c r="W53" i="2"/>
  <c r="W384" i="4" s="1"/>
  <c r="AG386" i="5" s="1"/>
  <c r="M53" i="2"/>
  <c r="M384" i="4" s="1"/>
  <c r="R386" i="5" s="1"/>
  <c r="O53" i="2"/>
  <c r="O384" i="4" s="1"/>
  <c r="U386" i="5" s="1"/>
  <c r="M52" i="2"/>
  <c r="M385" i="4" s="1"/>
  <c r="R384" i="5" s="1"/>
  <c r="Y52" i="2"/>
  <c r="Y385" i="4" s="1"/>
  <c r="AJ384" i="5" s="1"/>
  <c r="D52" i="2"/>
  <c r="D385" i="4" s="1"/>
  <c r="E384" i="5" s="1"/>
  <c r="Q52" i="2"/>
  <c r="Q385" i="4" s="1"/>
  <c r="X384" i="5" s="1"/>
  <c r="O52" i="2"/>
  <c r="O385" i="4" s="1"/>
  <c r="U384" i="5" s="1"/>
  <c r="E52" i="2"/>
  <c r="E385" i="4" s="1"/>
  <c r="S52" i="2"/>
  <c r="S385" i="4" s="1"/>
  <c r="AA384" i="5" s="1"/>
  <c r="F52" i="2"/>
  <c r="F385" i="4" s="1"/>
  <c r="T52" i="2"/>
  <c r="T385" i="4" s="1"/>
  <c r="AC384" i="5" s="1"/>
  <c r="AL381" i="8" s="1"/>
  <c r="I52" i="2"/>
  <c r="I385" i="4" s="1"/>
  <c r="L384" i="5" s="1"/>
  <c r="W52" i="2"/>
  <c r="W385" i="4" s="1"/>
  <c r="AG384" i="5" s="1"/>
  <c r="K52" i="2"/>
  <c r="K385" i="4" s="1"/>
  <c r="O384" i="5" s="1"/>
  <c r="Z52" i="2"/>
  <c r="Z385" i="4" s="1"/>
  <c r="AL384" i="5" s="1"/>
  <c r="Y50" i="2"/>
  <c r="Y369" i="4" s="1"/>
  <c r="AJ353" i="5" s="1"/>
  <c r="W49" i="2"/>
  <c r="W48" i="2"/>
  <c r="T47" i="2"/>
  <c r="N46" i="2"/>
  <c r="Y44" i="2"/>
  <c r="M43" i="2"/>
  <c r="M41" i="2"/>
  <c r="M193" i="4" s="1"/>
  <c r="R210" i="5" s="1"/>
  <c r="P39" i="2"/>
  <c r="P247" i="4" s="1"/>
  <c r="W231" i="5" s="1"/>
  <c r="AJ243" i="8" s="1"/>
  <c r="E37" i="2"/>
  <c r="E154" i="4" s="1"/>
  <c r="E34" i="2"/>
  <c r="Z30" i="2"/>
  <c r="U25" i="2"/>
  <c r="U19" i="2"/>
  <c r="F13" i="2"/>
  <c r="F104" i="4" s="1"/>
  <c r="R3" i="2"/>
  <c r="D318" i="4"/>
  <c r="E306" i="5" s="1"/>
  <c r="T81" i="2"/>
  <c r="Z80" i="2"/>
  <c r="Z318" i="4" s="1"/>
  <c r="AL306" i="5" s="1"/>
  <c r="N80" i="2"/>
  <c r="Z76" i="2"/>
  <c r="Z180" i="4" s="1"/>
  <c r="AL87" i="5" s="1"/>
  <c r="N76" i="2"/>
  <c r="O75" i="2"/>
  <c r="O164" i="4" s="1"/>
  <c r="U240" i="5" s="1"/>
  <c r="C75" i="2"/>
  <c r="C163" i="4" s="1"/>
  <c r="C239" i="5" s="1"/>
  <c r="R251" i="8" s="1"/>
  <c r="P74" i="2"/>
  <c r="P386" i="4" s="1"/>
  <c r="W385" i="5" s="1"/>
  <c r="C74" i="2"/>
  <c r="C386" i="4" s="1"/>
  <c r="C385" i="5" s="1"/>
  <c r="O73" i="2"/>
  <c r="O219" i="4" s="1"/>
  <c r="U265" i="5" s="1"/>
  <c r="N72" i="2"/>
  <c r="N225" i="4" s="1"/>
  <c r="T196" i="5" s="1"/>
  <c r="AI215" i="8" s="1"/>
  <c r="Z71" i="2"/>
  <c r="Z72" i="4" s="1"/>
  <c r="AL191" i="5" s="1"/>
  <c r="M71" i="2"/>
  <c r="M204" i="4" s="1"/>
  <c r="R251" i="5" s="1"/>
  <c r="Y70" i="2"/>
  <c r="L70" i="2"/>
  <c r="X69" i="2"/>
  <c r="G69" i="2"/>
  <c r="R68" i="2"/>
  <c r="R21" i="4" s="1"/>
  <c r="Z91" i="5" s="1"/>
  <c r="AK120" i="8" s="1"/>
  <c r="D68" i="2"/>
  <c r="D21" i="4" s="1"/>
  <c r="E91" i="5" s="1"/>
  <c r="AC68" i="2" s="1"/>
  <c r="N67" i="2"/>
  <c r="Y66" i="2"/>
  <c r="K66" i="2"/>
  <c r="V65" i="2"/>
  <c r="G65" i="2"/>
  <c r="P64" i="2"/>
  <c r="P271" i="4" s="1"/>
  <c r="W225" i="5" s="1"/>
  <c r="Y63" i="2"/>
  <c r="J63" i="2"/>
  <c r="Q62" i="2"/>
  <c r="Y61" i="2"/>
  <c r="H61" i="2"/>
  <c r="H74" i="4" s="1"/>
  <c r="K208" i="5" s="1"/>
  <c r="P60" i="2"/>
  <c r="P338" i="4" s="1"/>
  <c r="W332" i="5" s="1"/>
  <c r="AJ332" i="8" s="1"/>
  <c r="W59" i="2"/>
  <c r="G59" i="2"/>
  <c r="M58" i="2"/>
  <c r="M131" i="4" s="1"/>
  <c r="R199" i="5" s="1"/>
  <c r="V57" i="2"/>
  <c r="D57" i="2"/>
  <c r="D281" i="4" s="1"/>
  <c r="E292" i="5" s="1"/>
  <c r="I56" i="2"/>
  <c r="O55" i="2"/>
  <c r="O134" i="4" s="1"/>
  <c r="U20" i="5" s="1"/>
  <c r="T54" i="2"/>
  <c r="Y53" i="2"/>
  <c r="Y384" i="4" s="1"/>
  <c r="AJ386" i="5" s="1"/>
  <c r="X52" i="2"/>
  <c r="X385" i="4" s="1"/>
  <c r="AI384" i="5" s="1"/>
  <c r="AN381" i="8" s="1"/>
  <c r="X51" i="2"/>
  <c r="X357" i="4" s="1"/>
  <c r="AI361" i="5" s="1"/>
  <c r="AN360" i="8" s="1"/>
  <c r="X50" i="2"/>
  <c r="X366" i="4" s="1"/>
  <c r="AI367" i="5" s="1"/>
  <c r="AN365" i="8" s="1"/>
  <c r="V49" i="2"/>
  <c r="V308" i="4" s="1"/>
  <c r="AF307" i="5" s="1"/>
  <c r="T48" i="2"/>
  <c r="T311" i="4" s="1"/>
  <c r="AC310" i="5" s="1"/>
  <c r="AL312" i="8" s="1"/>
  <c r="P47" i="2"/>
  <c r="K46" i="2"/>
  <c r="W44" i="2"/>
  <c r="W244" i="4" s="1"/>
  <c r="AG219" i="5" s="1"/>
  <c r="I43" i="2"/>
  <c r="L41" i="2"/>
  <c r="L288" i="4" s="1"/>
  <c r="Q214" i="5" s="1"/>
  <c r="AH22" i="8" s="1"/>
  <c r="AT22" i="8" s="1"/>
  <c r="J22" i="8" s="1"/>
  <c r="O39" i="2"/>
  <c r="O64" i="4" s="1"/>
  <c r="U3" i="5" s="1"/>
  <c r="U36" i="2"/>
  <c r="C34" i="2"/>
  <c r="J30" i="2"/>
  <c r="J25" i="2"/>
  <c r="J19" i="2"/>
  <c r="E13" i="2"/>
  <c r="E104" i="4" s="1"/>
  <c r="Q3" i="2"/>
  <c r="S81" i="2"/>
  <c r="S293" i="4" s="1"/>
  <c r="AA89" i="5" s="1"/>
  <c r="Y80" i="2"/>
  <c r="Y326" i="4" s="1"/>
  <c r="AJ342" i="5" s="1"/>
  <c r="M80" i="2"/>
  <c r="M327" i="4" s="1"/>
  <c r="R343" i="5" s="1"/>
  <c r="Y76" i="2"/>
  <c r="Y180" i="4" s="1"/>
  <c r="AJ87" i="5" s="1"/>
  <c r="M76" i="2"/>
  <c r="M224" i="4" s="1"/>
  <c r="R169" i="5" s="1"/>
  <c r="Z75" i="2"/>
  <c r="N75" i="2"/>
  <c r="N164" i="4" s="1"/>
  <c r="T240" i="5" s="1"/>
  <c r="O74" i="2"/>
  <c r="O386" i="4" s="1"/>
  <c r="U385" i="5" s="1"/>
  <c r="M74" i="2"/>
  <c r="M386" i="4" s="1"/>
  <c r="R385" i="5" s="1"/>
  <c r="M73" i="2"/>
  <c r="M120" i="4" s="1"/>
  <c r="R93" i="5" s="1"/>
  <c r="Z72" i="2"/>
  <c r="Z239" i="4" s="1"/>
  <c r="AL114" i="5" s="1"/>
  <c r="M72" i="2"/>
  <c r="Y71" i="2"/>
  <c r="Y72" i="4" s="1"/>
  <c r="AJ191" i="5" s="1"/>
  <c r="L71" i="2"/>
  <c r="L72" i="4" s="1"/>
  <c r="Q191" i="5" s="1"/>
  <c r="AH210" i="8" s="1"/>
  <c r="AT210" i="8" s="1"/>
  <c r="J210" i="8" s="1"/>
  <c r="X70" i="2"/>
  <c r="K70" i="2"/>
  <c r="W69" i="2"/>
  <c r="W23" i="4" s="1"/>
  <c r="AG13" i="5" s="1"/>
  <c r="F69" i="2"/>
  <c r="Q68" i="2"/>
  <c r="Q21" i="4" s="1"/>
  <c r="X91" i="5" s="1"/>
  <c r="M67" i="2"/>
  <c r="M375" i="4" s="1"/>
  <c r="R375" i="5" s="1"/>
  <c r="X66" i="2"/>
  <c r="J66" i="2"/>
  <c r="U65" i="2"/>
  <c r="D65" i="2"/>
  <c r="D195" i="4" s="1"/>
  <c r="E228" i="5" s="1"/>
  <c r="AD24" i="8" s="1"/>
  <c r="N64" i="2"/>
  <c r="X63" i="2"/>
  <c r="I63" i="2"/>
  <c r="O62" i="2"/>
  <c r="O344" i="4" s="1"/>
  <c r="U338" i="5" s="1"/>
  <c r="X61" i="2"/>
  <c r="G61" i="2"/>
  <c r="O60" i="2"/>
  <c r="V59" i="2"/>
  <c r="F59" i="2"/>
  <c r="F86" i="4" s="1"/>
  <c r="L58" i="2"/>
  <c r="L131" i="4" s="1"/>
  <c r="Q199" i="5" s="1"/>
  <c r="AH218" i="8" s="1"/>
  <c r="AT218" i="8" s="1"/>
  <c r="J218" i="8" s="1"/>
  <c r="T57" i="2"/>
  <c r="H56" i="2"/>
  <c r="N55" i="2"/>
  <c r="N134" i="4" s="1"/>
  <c r="T20" i="5" s="1"/>
  <c r="S54" i="2"/>
  <c r="S232" i="4" s="1"/>
  <c r="AA19" i="5" s="1"/>
  <c r="U53" i="2"/>
  <c r="U384" i="4" s="1"/>
  <c r="AD386" i="5" s="1"/>
  <c r="V52" i="2"/>
  <c r="V385" i="4" s="1"/>
  <c r="AF384" i="5" s="1"/>
  <c r="AM381" i="8" s="1"/>
  <c r="W51" i="2"/>
  <c r="V50" i="2"/>
  <c r="T49" i="2"/>
  <c r="T308" i="4" s="1"/>
  <c r="AC307" i="5" s="1"/>
  <c r="AL309" i="8" s="1"/>
  <c r="S48" i="2"/>
  <c r="S311" i="4" s="1"/>
  <c r="AA310" i="5" s="1"/>
  <c r="O47" i="2"/>
  <c r="H46" i="2"/>
  <c r="V44" i="2"/>
  <c r="Y42" i="2"/>
  <c r="Y160" i="4" s="1"/>
  <c r="AJ216" i="5" s="1"/>
  <c r="E41" i="2"/>
  <c r="E223" i="4" s="1"/>
  <c r="F15" i="5" s="1"/>
  <c r="F39" i="2"/>
  <c r="F186" i="4" s="1"/>
  <c r="H150" i="5" s="1"/>
  <c r="R36" i="2"/>
  <c r="Z33" i="2"/>
  <c r="Z153" i="4" s="1"/>
  <c r="AL206" i="5" s="1"/>
  <c r="R29" i="2"/>
  <c r="F25" i="2"/>
  <c r="F19" i="2"/>
  <c r="K11" i="2"/>
  <c r="R81" i="2"/>
  <c r="X80" i="2"/>
  <c r="X328" i="4" s="1"/>
  <c r="AI344" i="5" s="1"/>
  <c r="AN344" i="8" s="1"/>
  <c r="AZ344" i="8" s="1"/>
  <c r="P344" i="8" s="1"/>
  <c r="L80" i="2"/>
  <c r="L318" i="4" s="1"/>
  <c r="Q306" i="5" s="1"/>
  <c r="AH308" i="8" s="1"/>
  <c r="AT308" i="8" s="1"/>
  <c r="J308" i="8" s="1"/>
  <c r="X76" i="2"/>
  <c r="L76" i="2"/>
  <c r="L224" i="4" s="1"/>
  <c r="Q169" i="5" s="1"/>
  <c r="AH192" i="8" s="1"/>
  <c r="AT192" i="8" s="1"/>
  <c r="J192" i="8" s="1"/>
  <c r="Y75" i="2"/>
  <c r="M75" i="2"/>
  <c r="Z74" i="2"/>
  <c r="Z386" i="4" s="1"/>
  <c r="AL385" i="5" s="1"/>
  <c r="BA385" i="5" s="1"/>
  <c r="N74" i="2"/>
  <c r="N386" i="4" s="1"/>
  <c r="T385" i="5" s="1"/>
  <c r="Y73" i="2"/>
  <c r="L73" i="2"/>
  <c r="Y72" i="2"/>
  <c r="Y239" i="4" s="1"/>
  <c r="AJ114" i="5" s="1"/>
  <c r="L72" i="2"/>
  <c r="L203" i="4" s="1"/>
  <c r="Q37" i="5" s="1"/>
  <c r="AH68" i="8" s="1"/>
  <c r="AT68" i="8" s="1"/>
  <c r="J68" i="8" s="1"/>
  <c r="X71" i="2"/>
  <c r="X72" i="4" s="1"/>
  <c r="AI191" i="5" s="1"/>
  <c r="AN210" i="8" s="1"/>
  <c r="K71" i="2"/>
  <c r="W70" i="2"/>
  <c r="J70" i="2"/>
  <c r="V69" i="2"/>
  <c r="E69" i="2"/>
  <c r="E56" i="4" s="1"/>
  <c r="F116" i="5" s="1"/>
  <c r="P68" i="2"/>
  <c r="P21" i="4" s="1"/>
  <c r="W91" i="5" s="1"/>
  <c r="AJ120" i="8" s="1"/>
  <c r="Z67" i="2"/>
  <c r="L67" i="2"/>
  <c r="W66" i="2"/>
  <c r="I66" i="2"/>
  <c r="T65" i="2"/>
  <c r="C65" i="2"/>
  <c r="C85" i="4" s="1"/>
  <c r="C224" i="5" s="1"/>
  <c r="M64" i="2"/>
  <c r="M271" i="4" s="1"/>
  <c r="R225" i="5" s="1"/>
  <c r="W63" i="2"/>
  <c r="W190" i="4" s="1"/>
  <c r="AG281" i="5" s="1"/>
  <c r="F63" i="2"/>
  <c r="N62" i="2"/>
  <c r="V61" i="2"/>
  <c r="D61" i="2"/>
  <c r="M60" i="2"/>
  <c r="U59" i="2"/>
  <c r="E59" i="2"/>
  <c r="E86" i="4" s="1"/>
  <c r="J58" i="2"/>
  <c r="S57" i="2"/>
  <c r="S281" i="4" s="1"/>
  <c r="AA292" i="5" s="1"/>
  <c r="Y56" i="2"/>
  <c r="F56" i="2"/>
  <c r="F173" i="4" s="1"/>
  <c r="H78" i="5" s="1"/>
  <c r="K55" i="2"/>
  <c r="K134" i="4" s="1"/>
  <c r="P54" i="2"/>
  <c r="P232" i="4" s="1"/>
  <c r="W19" i="5" s="1"/>
  <c r="T53" i="2"/>
  <c r="T384" i="4" s="1"/>
  <c r="AC386" i="5" s="1"/>
  <c r="U52" i="2"/>
  <c r="U385" i="4" s="1"/>
  <c r="AD384" i="5" s="1"/>
  <c r="S51" i="2"/>
  <c r="U50" i="2"/>
  <c r="U356" i="4" s="1"/>
  <c r="AD366" i="5" s="1"/>
  <c r="S49" i="2"/>
  <c r="S308" i="4" s="1"/>
  <c r="AA307" i="5" s="1"/>
  <c r="P48" i="2"/>
  <c r="M47" i="2"/>
  <c r="E46" i="2"/>
  <c r="O44" i="2"/>
  <c r="X42" i="2"/>
  <c r="X160" i="4" s="1"/>
  <c r="AI216" i="5" s="1"/>
  <c r="AN229" i="8" s="1"/>
  <c r="AZ229" i="8" s="1"/>
  <c r="P229" i="8" s="1"/>
  <c r="D41" i="2"/>
  <c r="X38" i="2"/>
  <c r="M36" i="2"/>
  <c r="M33" i="2"/>
  <c r="M153" i="4" s="1"/>
  <c r="R206" i="5" s="1"/>
  <c r="K29" i="2"/>
  <c r="K45" i="4" s="1"/>
  <c r="E25" i="2"/>
  <c r="E19" i="2"/>
  <c r="E11" i="2"/>
  <c r="E103" i="4" s="1"/>
  <c r="G9" i="3"/>
  <c r="Q81" i="2"/>
  <c r="Q278" i="4" s="1"/>
  <c r="X139" i="5" s="1"/>
  <c r="W80" i="2"/>
  <c r="K80" i="2"/>
  <c r="W76" i="2"/>
  <c r="K76" i="2"/>
  <c r="X75" i="2"/>
  <c r="X163" i="4" s="1"/>
  <c r="AI239" i="5" s="1"/>
  <c r="AN251" i="8" s="1"/>
  <c r="AZ251" i="8" s="1"/>
  <c r="P251" i="8" s="1"/>
  <c r="L75" i="2"/>
  <c r="L163" i="4" s="1"/>
  <c r="Q239" i="5" s="1"/>
  <c r="AH251" i="8" s="1"/>
  <c r="AT251" i="8" s="1"/>
  <c r="J251" i="8" s="1"/>
  <c r="Y74" i="2"/>
  <c r="Y386" i="4" s="1"/>
  <c r="AJ385" i="5" s="1"/>
  <c r="L74" i="2"/>
  <c r="L386" i="4" s="1"/>
  <c r="Q385" i="5" s="1"/>
  <c r="X73" i="2"/>
  <c r="K73" i="2"/>
  <c r="X72" i="2"/>
  <c r="X239" i="4" s="1"/>
  <c r="AI114" i="5" s="1"/>
  <c r="AN142" i="8" s="1"/>
  <c r="AZ142" i="8" s="1"/>
  <c r="P142" i="8" s="1"/>
  <c r="K72" i="2"/>
  <c r="W71" i="2"/>
  <c r="W72" i="4" s="1"/>
  <c r="AG191" i="5" s="1"/>
  <c r="J71" i="2"/>
  <c r="V70" i="2"/>
  <c r="I70" i="2"/>
  <c r="U69" i="2"/>
  <c r="C69" i="2"/>
  <c r="M68" i="2"/>
  <c r="M21" i="4" s="1"/>
  <c r="Y67" i="2"/>
  <c r="K67" i="2"/>
  <c r="V66" i="2"/>
  <c r="H66" i="2"/>
  <c r="H217" i="4" s="1"/>
  <c r="K227" i="5" s="1"/>
  <c r="S65" i="2"/>
  <c r="E65" i="2"/>
  <c r="E195" i="4" s="1"/>
  <c r="F228" i="5" s="1"/>
  <c r="L64" i="2"/>
  <c r="L271" i="4" s="1"/>
  <c r="Q225" i="5" s="1"/>
  <c r="AH238" i="8" s="1"/>
  <c r="AT238" i="8" s="1"/>
  <c r="J238" i="8" s="1"/>
  <c r="V63" i="2"/>
  <c r="E63" i="2"/>
  <c r="M62" i="2"/>
  <c r="M344" i="4" s="1"/>
  <c r="R338" i="5" s="1"/>
  <c r="U61" i="2"/>
  <c r="C61" i="2"/>
  <c r="K60" i="2"/>
  <c r="T59" i="2"/>
  <c r="M59" i="2"/>
  <c r="M86" i="4" s="1"/>
  <c r="R299" i="5" s="1"/>
  <c r="Y59" i="2"/>
  <c r="Y86" i="4" s="1"/>
  <c r="AJ299" i="5" s="1"/>
  <c r="L59" i="2"/>
  <c r="L86" i="4" s="1"/>
  <c r="Q299" i="5" s="1"/>
  <c r="Z59" i="2"/>
  <c r="Z86" i="4" s="1"/>
  <c r="AL299" i="5" s="1"/>
  <c r="BA299" i="5" s="1"/>
  <c r="C59" i="2"/>
  <c r="C86" i="4" s="1"/>
  <c r="C299" i="5" s="1"/>
  <c r="P59" i="2"/>
  <c r="P86" i="4" s="1"/>
  <c r="W299" i="5" s="1"/>
  <c r="D59" i="2"/>
  <c r="D86" i="4" s="1"/>
  <c r="E299" i="5" s="1"/>
  <c r="Q59" i="2"/>
  <c r="Q86" i="4" s="1"/>
  <c r="X299" i="5" s="1"/>
  <c r="I58" i="2"/>
  <c r="R57" i="2"/>
  <c r="X56" i="2"/>
  <c r="E56" i="2"/>
  <c r="J55" i="2"/>
  <c r="J134" i="4" s="1"/>
  <c r="N54" i="2"/>
  <c r="N232" i="4" s="1"/>
  <c r="T19" i="5" s="1"/>
  <c r="Q53" i="2"/>
  <c r="Q384" i="4" s="1"/>
  <c r="X386" i="5" s="1"/>
  <c r="R52" i="2"/>
  <c r="R385" i="4" s="1"/>
  <c r="R51" i="2"/>
  <c r="Q50" i="2"/>
  <c r="Q356" i="4" s="1"/>
  <c r="X366" i="5" s="1"/>
  <c r="M49" i="2"/>
  <c r="M308" i="4" s="1"/>
  <c r="R307" i="5" s="1"/>
  <c r="O48" i="2"/>
  <c r="K47" i="2"/>
  <c r="D46" i="2"/>
  <c r="K44" i="2"/>
  <c r="V42" i="2"/>
  <c r="X40" i="2"/>
  <c r="V38" i="2"/>
  <c r="J36" i="2"/>
  <c r="Z32" i="2"/>
  <c r="Z189" i="4" s="1"/>
  <c r="AL167" i="5" s="1"/>
  <c r="E29" i="2"/>
  <c r="R23" i="2"/>
  <c r="R87" i="4" s="1"/>
  <c r="R17" i="2"/>
  <c r="R171" i="4" s="1"/>
  <c r="D11" i="2"/>
  <c r="D103" i="4" s="1"/>
  <c r="E55" i="5" s="1"/>
  <c r="E81" i="2"/>
  <c r="E13" i="4" s="1"/>
  <c r="L81" i="2"/>
  <c r="L285" i="4" s="1"/>
  <c r="Q107" i="5" s="1"/>
  <c r="AH136" i="8" s="1"/>
  <c r="AT136" i="8" s="1"/>
  <c r="D81" i="2"/>
  <c r="D278" i="4" s="1"/>
  <c r="E139" i="5" s="1"/>
  <c r="AD164" i="8" s="1"/>
  <c r="H81" i="2"/>
  <c r="F81" i="2"/>
  <c r="F285" i="4" s="1"/>
  <c r="H107" i="5" s="1"/>
  <c r="M81" i="2"/>
  <c r="M27" i="4" s="1"/>
  <c r="R264" i="5" s="1"/>
  <c r="H25" i="3"/>
  <c r="U291" i="4" s="1" a="1"/>
  <c r="U291" i="4" s="1"/>
  <c r="AD101" i="5" s="1"/>
  <c r="P81" i="2"/>
  <c r="P278" i="4" s="1"/>
  <c r="W139" i="5" s="1"/>
  <c r="AJ164" i="8" s="1"/>
  <c r="AV164" i="8" s="1"/>
  <c r="L164" i="8" s="1"/>
  <c r="V80" i="2"/>
  <c r="V337" i="4" s="1"/>
  <c r="AF321" i="5" s="1"/>
  <c r="J80" i="2"/>
  <c r="V76" i="2"/>
  <c r="J76" i="2"/>
  <c r="W75" i="2"/>
  <c r="K75" i="2"/>
  <c r="X74" i="2"/>
  <c r="X386" i="4" s="1"/>
  <c r="AI385" i="5" s="1"/>
  <c r="K74" i="2"/>
  <c r="K386" i="4" s="1"/>
  <c r="O385" i="5" s="1"/>
  <c r="W73" i="2"/>
  <c r="J73" i="2"/>
  <c r="W72" i="2"/>
  <c r="W203" i="4" s="1"/>
  <c r="AG37" i="5" s="1"/>
  <c r="J72" i="2"/>
  <c r="V71" i="2"/>
  <c r="I71" i="2"/>
  <c r="U70" i="2"/>
  <c r="H70" i="2"/>
  <c r="T69" i="2"/>
  <c r="I69" i="2"/>
  <c r="I56" i="4" s="1"/>
  <c r="L116" i="5" s="1"/>
  <c r="M69" i="2"/>
  <c r="L69" i="2"/>
  <c r="L56" i="4" s="1"/>
  <c r="Q116" i="5" s="1"/>
  <c r="AH144" i="8" s="1"/>
  <c r="AT144" i="8" s="1"/>
  <c r="J144" i="8" s="1"/>
  <c r="D69" i="2"/>
  <c r="J69" i="2"/>
  <c r="R69" i="2"/>
  <c r="R403" i="4" s="1"/>
  <c r="Z393" i="5" s="1"/>
  <c r="L68" i="2"/>
  <c r="L21" i="4" s="1"/>
  <c r="Q91" i="5" s="1"/>
  <c r="X67" i="2"/>
  <c r="X383" i="4" s="1"/>
  <c r="AI383" i="5" s="1"/>
  <c r="AN379" i="8" s="1"/>
  <c r="J67" i="2"/>
  <c r="U66" i="2"/>
  <c r="G66" i="2"/>
  <c r="P65" i="2"/>
  <c r="P85" i="4" s="1"/>
  <c r="W224" i="5" s="1"/>
  <c r="AJ237" i="8" s="1"/>
  <c r="Z64" i="2"/>
  <c r="Z271" i="4" s="1"/>
  <c r="AL225" i="5" s="1"/>
  <c r="K64" i="2"/>
  <c r="U63" i="2"/>
  <c r="L62" i="2"/>
  <c r="T61" i="2"/>
  <c r="E61" i="2"/>
  <c r="J60" i="2"/>
  <c r="S59" i="2"/>
  <c r="S86" i="4" s="1"/>
  <c r="AA299" i="5" s="1"/>
  <c r="AW299" i="5" s="1"/>
  <c r="Y58" i="2"/>
  <c r="Y131" i="4" s="1"/>
  <c r="AJ199" i="5" s="1"/>
  <c r="G58" i="2"/>
  <c r="Q57" i="2"/>
  <c r="Q258" i="4" s="1"/>
  <c r="X296" i="5" s="1"/>
  <c r="V56" i="2"/>
  <c r="H55" i="2"/>
  <c r="H134" i="4" s="1"/>
  <c r="K20" i="5" s="1"/>
  <c r="M54" i="2"/>
  <c r="M232" i="4" s="1"/>
  <c r="R19" i="5" s="1"/>
  <c r="P53" i="2"/>
  <c r="P384" i="4" s="1"/>
  <c r="W386" i="5" s="1"/>
  <c r="P52" i="2"/>
  <c r="P385" i="4" s="1"/>
  <c r="W384" i="5" s="1"/>
  <c r="AJ381" i="8" s="1"/>
  <c r="M51" i="2"/>
  <c r="M373" i="4" s="1"/>
  <c r="R357" i="5" s="1"/>
  <c r="N50" i="2"/>
  <c r="N370" i="4" s="1"/>
  <c r="T354" i="5" s="1"/>
  <c r="AI353" i="8" s="1"/>
  <c r="L49" i="2"/>
  <c r="L308" i="4" s="1"/>
  <c r="Q307" i="5" s="1"/>
  <c r="AH309" i="8" s="1"/>
  <c r="AT309" i="8" s="1"/>
  <c r="J309" i="8" s="1"/>
  <c r="J48" i="2"/>
  <c r="G47" i="2"/>
  <c r="X45" i="2"/>
  <c r="J44" i="2"/>
  <c r="T42" i="2"/>
  <c r="O40" i="2"/>
  <c r="P38" i="2"/>
  <c r="D36" i="2"/>
  <c r="V32" i="2"/>
  <c r="D29" i="2"/>
  <c r="D46" i="4" s="1"/>
  <c r="E32" i="5" s="1"/>
  <c r="K23" i="2"/>
  <c r="K17" i="2"/>
  <c r="L314" i="4"/>
  <c r="Q313" i="5" s="1"/>
  <c r="AH315" i="8" s="1"/>
  <c r="AT315" i="8" s="1"/>
  <c r="J315" i="8" s="1"/>
  <c r="N82" i="2"/>
  <c r="Z82" i="2"/>
  <c r="Z81" i="4" s="1"/>
  <c r="AL147" i="5" s="1"/>
  <c r="N2" i="2"/>
  <c r="Z2" i="2"/>
  <c r="N3" i="2"/>
  <c r="N277" i="4" s="1"/>
  <c r="T301" i="5" s="1"/>
  <c r="Z3" i="2"/>
  <c r="N4" i="2"/>
  <c r="Z4" i="2"/>
  <c r="N5" i="2"/>
  <c r="Z5" i="2"/>
  <c r="N6" i="2"/>
  <c r="N28" i="4" s="1"/>
  <c r="T97" i="5" s="1"/>
  <c r="AI126" i="8" s="1"/>
  <c r="Z6" i="2"/>
  <c r="Z28" i="4" s="1"/>
  <c r="AL97" i="5" s="1"/>
  <c r="N7" i="2"/>
  <c r="Z7" i="2"/>
  <c r="Z51" i="4" s="1"/>
  <c r="AL39" i="5" s="1"/>
  <c r="N8" i="2"/>
  <c r="N88" i="4" s="1"/>
  <c r="T44" i="5" s="1"/>
  <c r="AI75" i="8" s="1"/>
  <c r="Z8" i="2"/>
  <c r="Z88" i="4" s="1"/>
  <c r="AL44" i="5" s="1"/>
  <c r="N9" i="2"/>
  <c r="Z9" i="2"/>
  <c r="N10" i="2"/>
  <c r="N107" i="4" s="1"/>
  <c r="T59" i="5" s="1"/>
  <c r="AI88" i="8" s="1"/>
  <c r="Z10" i="2"/>
  <c r="Z107" i="4" s="1"/>
  <c r="AL59" i="5" s="1"/>
  <c r="N11" i="2"/>
  <c r="N103" i="4" s="1"/>
  <c r="T55" i="5" s="1"/>
  <c r="AI84" i="8" s="1"/>
  <c r="Z11" i="2"/>
  <c r="Z103" i="4" s="1"/>
  <c r="AL55" i="5" s="1"/>
  <c r="N12" i="2"/>
  <c r="N106" i="4" s="1"/>
  <c r="T58" i="5" s="1"/>
  <c r="AI87" i="8" s="1"/>
  <c r="Z12" i="2"/>
  <c r="Z57" i="4" s="1"/>
  <c r="AL257" i="5" s="1"/>
  <c r="N13" i="2"/>
  <c r="N104" i="4" s="1"/>
  <c r="T56" i="5" s="1"/>
  <c r="AI85" i="8" s="1"/>
  <c r="Z13" i="2"/>
  <c r="Z104" i="4" s="1"/>
  <c r="AL56" i="5" s="1"/>
  <c r="N14" i="2"/>
  <c r="Z14" i="2"/>
  <c r="N15" i="2"/>
  <c r="Z15" i="2"/>
  <c r="N16" i="2"/>
  <c r="Z16" i="2"/>
  <c r="N17" i="2"/>
  <c r="N171" i="4" s="1"/>
  <c r="T69" i="5" s="1"/>
  <c r="AI98" i="8" s="1"/>
  <c r="Z17" i="2"/>
  <c r="Z171" i="4" s="1"/>
  <c r="AL69" i="5" s="1"/>
  <c r="N18" i="2"/>
  <c r="N135" i="4" s="1"/>
  <c r="T74" i="5" s="1"/>
  <c r="Z18" i="2"/>
  <c r="Z67" i="4" s="1"/>
  <c r="AL164" i="5" s="1"/>
  <c r="N19" i="2"/>
  <c r="N220" i="4" s="1"/>
  <c r="T9" i="5" s="1"/>
  <c r="AI45" i="8" s="1"/>
  <c r="Z19" i="2"/>
  <c r="Z140" i="4" s="1"/>
  <c r="AL14" i="5" s="1"/>
  <c r="N20" i="2"/>
  <c r="N267" i="4" s="1"/>
  <c r="T73" i="5" s="1"/>
  <c r="Z20" i="2"/>
  <c r="N21" i="2"/>
  <c r="N40" i="4" s="1"/>
  <c r="Z21" i="2"/>
  <c r="Z40" i="4" s="1"/>
  <c r="AL90" i="5" s="1"/>
  <c r="N22" i="2"/>
  <c r="N297" i="4" s="1"/>
  <c r="T272" i="5" s="1"/>
  <c r="AI280" i="8" s="1"/>
  <c r="Z22" i="2"/>
  <c r="N23" i="2"/>
  <c r="N87" i="4" s="1"/>
  <c r="T298" i="5" s="1"/>
  <c r="AI304" i="8" s="1"/>
  <c r="Z23" i="2"/>
  <c r="Z87" i="4" s="1"/>
  <c r="AL298" i="5" s="1"/>
  <c r="N24" i="2"/>
  <c r="N175" i="4" s="1"/>
  <c r="T81" i="5" s="1"/>
  <c r="AI110" i="8" s="1"/>
  <c r="Z24" i="2"/>
  <c r="N25" i="2"/>
  <c r="N268" i="4" s="1"/>
  <c r="T100" i="5" s="1"/>
  <c r="AI129" i="8" s="1"/>
  <c r="Z25" i="2"/>
  <c r="Z243" i="4" s="1"/>
  <c r="AL193" i="5" s="1"/>
  <c r="N26" i="2"/>
  <c r="N283" i="4" s="1"/>
  <c r="T102" i="5" s="1"/>
  <c r="AI131" i="8" s="1"/>
  <c r="Z26" i="2"/>
  <c r="Z283" i="4" s="1"/>
  <c r="AL102" i="5" s="1"/>
  <c r="N27" i="2"/>
  <c r="N392" i="4" s="1"/>
  <c r="Z27" i="2"/>
  <c r="Z115" i="4" s="1"/>
  <c r="AL161" i="5" s="1"/>
  <c r="N28" i="2"/>
  <c r="N30" i="4" s="1"/>
  <c r="T275" i="5" s="1"/>
  <c r="Z28" i="2"/>
  <c r="N29" i="2"/>
  <c r="N45" i="4" s="1"/>
  <c r="T31" i="5" s="1"/>
  <c r="AI5" i="8" s="1"/>
  <c r="Z29" i="2"/>
  <c r="Z46" i="4" s="1"/>
  <c r="AL32" i="5" s="1"/>
  <c r="D82" i="2"/>
  <c r="D80" i="4" s="1"/>
  <c r="E134" i="5" s="1"/>
  <c r="E82" i="2"/>
  <c r="Q82" i="2"/>
  <c r="G2" i="2"/>
  <c r="S2" i="2"/>
  <c r="G3" i="2"/>
  <c r="S3" i="2"/>
  <c r="G4" i="2"/>
  <c r="S4" i="2"/>
  <c r="S187" i="4" s="1"/>
  <c r="AA151" i="5" s="1"/>
  <c r="G5" i="2"/>
  <c r="S5" i="2"/>
  <c r="G6" i="2"/>
  <c r="S6" i="2"/>
  <c r="G7" i="2"/>
  <c r="S7" i="2"/>
  <c r="S58" i="4" s="1"/>
  <c r="AA41" i="5" s="1"/>
  <c r="G8" i="2"/>
  <c r="S8" i="2"/>
  <c r="G9" i="2"/>
  <c r="S9" i="2"/>
  <c r="G10" i="2"/>
  <c r="S10" i="2"/>
  <c r="S107" i="4" s="1"/>
  <c r="AA59" i="5" s="1"/>
  <c r="G11" i="2"/>
  <c r="S11" i="2"/>
  <c r="S103" i="4" s="1"/>
  <c r="AA55" i="5" s="1"/>
  <c r="G12" i="2"/>
  <c r="S12" i="2"/>
  <c r="S105" i="4" s="1"/>
  <c r="AA57" i="5" s="1"/>
  <c r="G13" i="2"/>
  <c r="S13" i="2"/>
  <c r="S104" i="4" s="1"/>
  <c r="AA56" i="5" s="1"/>
  <c r="G14" i="2"/>
  <c r="S14" i="2"/>
  <c r="S205" i="4" s="1"/>
  <c r="AA53" i="5" s="1"/>
  <c r="G15" i="2"/>
  <c r="S15" i="2"/>
  <c r="S75" i="4" s="1"/>
  <c r="AA250" i="5" s="1"/>
  <c r="G16" i="2"/>
  <c r="S16" i="2"/>
  <c r="G17" i="2"/>
  <c r="S17" i="2"/>
  <c r="S171" i="4" s="1"/>
  <c r="AA69" i="5" s="1"/>
  <c r="G18" i="2"/>
  <c r="S18" i="2"/>
  <c r="S113" i="4" s="1"/>
  <c r="AA135" i="5" s="1"/>
  <c r="G19" i="2"/>
  <c r="S19" i="2"/>
  <c r="G20" i="2"/>
  <c r="S20" i="2"/>
  <c r="G21" i="2"/>
  <c r="G40" i="4" s="1"/>
  <c r="S21" i="2"/>
  <c r="S40" i="4" s="1"/>
  <c r="AA90" i="5" s="1"/>
  <c r="G22" i="2"/>
  <c r="S22" i="2"/>
  <c r="S297" i="4" s="1"/>
  <c r="AA272" i="5" s="1"/>
  <c r="G23" i="2"/>
  <c r="S23" i="2"/>
  <c r="S87" i="4" s="1"/>
  <c r="AA298" i="5" s="1"/>
  <c r="G24" i="2"/>
  <c r="S24" i="2"/>
  <c r="S235" i="4" s="1"/>
  <c r="AA253" i="5" s="1"/>
  <c r="G25" i="2"/>
  <c r="S25" i="2"/>
  <c r="S249" i="4" s="1"/>
  <c r="AA99" i="5" s="1"/>
  <c r="G26" i="2"/>
  <c r="S26" i="2"/>
  <c r="S283" i="4" s="1"/>
  <c r="AA102" i="5" s="1"/>
  <c r="G27" i="2"/>
  <c r="S27" i="2"/>
  <c r="S69" i="4" s="1"/>
  <c r="AA170" i="5" s="1"/>
  <c r="G28" i="2"/>
  <c r="S28" i="2"/>
  <c r="G29" i="2"/>
  <c r="S29" i="2"/>
  <c r="S47" i="4" s="1"/>
  <c r="AA33" i="5" s="1"/>
  <c r="G30" i="2"/>
  <c r="S30" i="2"/>
  <c r="G31" i="2"/>
  <c r="S31" i="2"/>
  <c r="S150" i="4" s="1"/>
  <c r="AA202" i="5" s="1"/>
  <c r="G32" i="2"/>
  <c r="S32" i="2"/>
  <c r="S162" i="4" s="1"/>
  <c r="AA237" i="5" s="1"/>
  <c r="G33" i="2"/>
  <c r="S33" i="2"/>
  <c r="S153" i="4" s="1"/>
  <c r="AA206" i="5" s="1"/>
  <c r="G34" i="2"/>
  <c r="S34" i="2"/>
  <c r="G35" i="2"/>
  <c r="S35" i="2"/>
  <c r="S188" i="4" s="1"/>
  <c r="AA152" i="5" s="1"/>
  <c r="G36" i="2"/>
  <c r="S36" i="2"/>
  <c r="S210" i="4" s="1"/>
  <c r="AA21" i="5" s="1"/>
  <c r="G37" i="2"/>
  <c r="S37" i="2"/>
  <c r="S154" i="4" s="1"/>
  <c r="AA207" i="5" s="1"/>
  <c r="G38" i="2"/>
  <c r="S38" i="2"/>
  <c r="G39" i="2"/>
  <c r="S39" i="2"/>
  <c r="T82" i="2"/>
  <c r="H2" i="2"/>
  <c r="T2" i="2"/>
  <c r="H3" i="2"/>
  <c r="T3" i="2"/>
  <c r="H4" i="2"/>
  <c r="H10" i="4" s="1"/>
  <c r="K254" i="5" s="1"/>
  <c r="T4" i="2"/>
  <c r="H5" i="2"/>
  <c r="H12" i="4" s="1"/>
  <c r="K263" i="5" s="1"/>
  <c r="T5" i="2"/>
  <c r="H6" i="2"/>
  <c r="H28" i="4" s="1"/>
  <c r="K97" i="5" s="1"/>
  <c r="T6" i="2"/>
  <c r="H7" i="2"/>
  <c r="H167" i="4" s="1"/>
  <c r="K247" i="5" s="1"/>
  <c r="T7" i="2"/>
  <c r="H8" i="2"/>
  <c r="H88" i="4" s="1"/>
  <c r="K44" i="5" s="1"/>
  <c r="T8" i="2"/>
  <c r="H9" i="2"/>
  <c r="H59" i="4" s="1"/>
  <c r="K45" i="5" s="1"/>
  <c r="T9" i="2"/>
  <c r="H10" i="2"/>
  <c r="H107" i="4" s="1"/>
  <c r="K59" i="5" s="1"/>
  <c r="T10" i="2"/>
  <c r="H11" i="2"/>
  <c r="H103" i="4" s="1"/>
  <c r="K55" i="5" s="1"/>
  <c r="T11" i="2"/>
  <c r="H12" i="2"/>
  <c r="T12" i="2"/>
  <c r="H13" i="2"/>
  <c r="H104" i="4" s="1"/>
  <c r="K56" i="5" s="1"/>
  <c r="T13" i="2"/>
  <c r="H14" i="2"/>
  <c r="H234" i="4" s="1"/>
  <c r="K30" i="5" s="1"/>
  <c r="T14" i="2"/>
  <c r="H15" i="2"/>
  <c r="T15" i="2"/>
  <c r="H16" i="2"/>
  <c r="H37" i="4" s="1"/>
  <c r="K62" i="5" s="1"/>
  <c r="T16" i="2"/>
  <c r="H17" i="2"/>
  <c r="H171" i="4" s="1"/>
  <c r="K69" i="5" s="1"/>
  <c r="T17" i="2"/>
  <c r="H18" i="2"/>
  <c r="T18" i="2"/>
  <c r="H19" i="2"/>
  <c r="H208" i="4" s="1"/>
  <c r="K75" i="5" s="1"/>
  <c r="T19" i="2"/>
  <c r="H20" i="2"/>
  <c r="T20" i="2"/>
  <c r="H21" i="2"/>
  <c r="H40" i="4" s="1"/>
  <c r="K90" i="5" s="1"/>
  <c r="T21" i="2"/>
  <c r="H22" i="2"/>
  <c r="H297" i="4" s="1"/>
  <c r="K272" i="5" s="1"/>
  <c r="AF280" i="8" s="1"/>
  <c r="AR280" i="8" s="1"/>
  <c r="H280" i="8" s="1"/>
  <c r="T22" i="2"/>
  <c r="H23" i="2"/>
  <c r="T23" i="2"/>
  <c r="H24" i="2"/>
  <c r="H76" i="4" s="1"/>
  <c r="K115" i="5" s="1"/>
  <c r="T24" i="2"/>
  <c r="H25" i="2"/>
  <c r="T25" i="2"/>
  <c r="H26" i="2"/>
  <c r="H283" i="4" s="1"/>
  <c r="K102" i="5" s="1"/>
  <c r="T26" i="2"/>
  <c r="H27" i="2"/>
  <c r="H115" i="4" s="1"/>
  <c r="K161" i="5" s="1"/>
  <c r="T27" i="2"/>
  <c r="H28" i="2"/>
  <c r="H44" i="4" s="1"/>
  <c r="K18" i="5" s="1"/>
  <c r="T28" i="2"/>
  <c r="H29" i="2"/>
  <c r="T29" i="2"/>
  <c r="H30" i="2"/>
  <c r="T30" i="2"/>
  <c r="H31" i="2"/>
  <c r="H114" i="4" s="1"/>
  <c r="K138" i="5" s="1"/>
  <c r="T31" i="2"/>
  <c r="H32" i="2"/>
  <c r="T32" i="2"/>
  <c r="I82" i="2"/>
  <c r="I80" i="4" s="1"/>
  <c r="L134" i="5" s="1"/>
  <c r="U82" i="2"/>
  <c r="I2" i="2"/>
  <c r="U2" i="2"/>
  <c r="I3" i="2"/>
  <c r="U3" i="2"/>
  <c r="J82" i="2"/>
  <c r="J80" i="4" s="1"/>
  <c r="N134" i="5" s="1"/>
  <c r="V82" i="2"/>
  <c r="K82" i="2"/>
  <c r="W82" i="2"/>
  <c r="K2" i="2"/>
  <c r="W2" i="2"/>
  <c r="K3" i="2"/>
  <c r="K277" i="4" s="1"/>
  <c r="O301" i="5" s="1"/>
  <c r="W3" i="2"/>
  <c r="K4" i="2"/>
  <c r="W4" i="2"/>
  <c r="W125" i="4" s="1"/>
  <c r="AG278" i="5" s="1"/>
  <c r="K5" i="2"/>
  <c r="W5" i="2"/>
  <c r="K6" i="2"/>
  <c r="W6" i="2"/>
  <c r="K7" i="2"/>
  <c r="W7" i="2"/>
  <c r="W124" i="4" s="1"/>
  <c r="AG276" i="5" s="1"/>
  <c r="M82" i="2"/>
  <c r="M80" i="4" s="1"/>
  <c r="R134" i="5" s="1"/>
  <c r="Y82" i="2"/>
  <c r="Y81" i="4" s="1"/>
  <c r="AJ147" i="5" s="1"/>
  <c r="G25" i="3"/>
  <c r="T118" i="4" s="1" a="1"/>
  <c r="T118" i="4" s="1"/>
  <c r="AC236" i="5" s="1"/>
  <c r="AL248" i="8" s="1"/>
  <c r="M2" i="2"/>
  <c r="Y2" i="2"/>
  <c r="Y179" i="4" s="1"/>
  <c r="AJ261" i="5" s="1"/>
  <c r="M3" i="2"/>
  <c r="Y3" i="2"/>
  <c r="M4" i="2"/>
  <c r="M10" i="4" s="1"/>
  <c r="R254" i="5" s="1"/>
  <c r="Y4" i="2"/>
  <c r="Y187" i="4" s="1"/>
  <c r="AJ151" i="5" s="1"/>
  <c r="M5" i="2"/>
  <c r="M66" i="4" s="1"/>
  <c r="R277" i="5" s="1"/>
  <c r="Y5" i="2"/>
  <c r="Y12" i="4" s="1"/>
  <c r="AJ263" i="5" s="1"/>
  <c r="M6" i="2"/>
  <c r="M28" i="4" s="1"/>
  <c r="R97" i="5" s="1"/>
  <c r="Y6" i="2"/>
  <c r="Y28" i="4" s="1"/>
  <c r="AJ97" i="5" s="1"/>
  <c r="M7" i="2"/>
  <c r="Y7" i="2"/>
  <c r="Y167" i="4" s="1"/>
  <c r="AJ247" i="5" s="1"/>
  <c r="M8" i="2"/>
  <c r="M88" i="4" s="1"/>
  <c r="R44" i="5" s="1"/>
  <c r="Y8" i="2"/>
  <c r="Y88" i="4" s="1"/>
  <c r="AJ44" i="5" s="1"/>
  <c r="M9" i="2"/>
  <c r="Y9" i="2"/>
  <c r="Y89" i="4" s="1"/>
  <c r="AJ48" i="5" s="1"/>
  <c r="M10" i="2"/>
  <c r="M107" i="4" s="1"/>
  <c r="R59" i="5" s="1"/>
  <c r="Y10" i="2"/>
  <c r="Y107" i="4" s="1"/>
  <c r="AJ59" i="5" s="1"/>
  <c r="M11" i="2"/>
  <c r="M103" i="4" s="1"/>
  <c r="R55" i="5" s="1"/>
  <c r="Y11" i="2"/>
  <c r="Y103" i="4" s="1"/>
  <c r="AJ55" i="5" s="1"/>
  <c r="M12" i="2"/>
  <c r="Y12" i="2"/>
  <c r="M13" i="2"/>
  <c r="M104" i="4" s="1"/>
  <c r="R56" i="5" s="1"/>
  <c r="Y13" i="2"/>
  <c r="Y104" i="4" s="1"/>
  <c r="AJ56" i="5" s="1"/>
  <c r="M14" i="2"/>
  <c r="Y14" i="2"/>
  <c r="Y233" i="4" s="1"/>
  <c r="AJ29" i="5" s="1"/>
  <c r="M15" i="2"/>
  <c r="M68" i="4" s="1"/>
  <c r="R165" i="5" s="1"/>
  <c r="Y15" i="2"/>
  <c r="Y68" i="4" s="1"/>
  <c r="AJ165" i="5" s="1"/>
  <c r="M16" i="2"/>
  <c r="M295" i="4" s="1"/>
  <c r="R98" i="5" s="1"/>
  <c r="Y16" i="2"/>
  <c r="M17" i="2"/>
  <c r="M171" i="4" s="1"/>
  <c r="R69" i="5" s="1"/>
  <c r="Y17" i="2"/>
  <c r="Y171" i="4" s="1"/>
  <c r="AJ69" i="5" s="1"/>
  <c r="M18" i="2"/>
  <c r="Y18" i="2"/>
  <c r="M19" i="2"/>
  <c r="M208" i="4" s="1"/>
  <c r="R75" i="5" s="1"/>
  <c r="Y19" i="2"/>
  <c r="Y140" i="4" s="1"/>
  <c r="AJ14" i="5" s="1"/>
  <c r="M20" i="2"/>
  <c r="Y20" i="2"/>
  <c r="M21" i="2"/>
  <c r="M40" i="4" s="1"/>
  <c r="Y21" i="2"/>
  <c r="Y40" i="4" s="1"/>
  <c r="AJ90" i="5" s="1"/>
  <c r="M22" i="2"/>
  <c r="M15" i="4" s="1"/>
  <c r="R181" i="5" s="1"/>
  <c r="Y22" i="2"/>
  <c r="M23" i="2"/>
  <c r="M87" i="4" s="1"/>
  <c r="R298" i="5" s="1"/>
  <c r="Y23" i="2"/>
  <c r="Y87" i="4" s="1"/>
  <c r="AJ298" i="5" s="1"/>
  <c r="M24" i="2"/>
  <c r="Y24" i="2"/>
  <c r="M25" i="2"/>
  <c r="Y25" i="2"/>
  <c r="Y249" i="4" s="1"/>
  <c r="AJ99" i="5" s="1"/>
  <c r="M26" i="2"/>
  <c r="M283" i="4" s="1"/>
  <c r="R102" i="5" s="1"/>
  <c r="Y26" i="2"/>
  <c r="Y283" i="4" s="1"/>
  <c r="AJ102" i="5" s="1"/>
  <c r="M27" i="2"/>
  <c r="Y27" i="2"/>
  <c r="Y115" i="4" s="1"/>
  <c r="AJ161" i="5" s="1"/>
  <c r="M28" i="2"/>
  <c r="Y28" i="2"/>
  <c r="M29" i="2"/>
  <c r="Y29" i="2"/>
  <c r="Y46" i="4" s="1"/>
  <c r="AJ32" i="5" s="1"/>
  <c r="M30" i="2"/>
  <c r="X82" i="2"/>
  <c r="X81" i="4" s="1"/>
  <c r="AI147" i="5" s="1"/>
  <c r="AN172" i="8" s="1"/>
  <c r="AZ172" i="8" s="1"/>
  <c r="P172" i="8" s="1"/>
  <c r="C2" i="2"/>
  <c r="C3" i="2"/>
  <c r="C4" i="2"/>
  <c r="C218" i="4" s="1"/>
  <c r="C242" i="5" s="1"/>
  <c r="V4" i="2"/>
  <c r="R5" i="2"/>
  <c r="P6" i="2"/>
  <c r="P28" i="4" s="1"/>
  <c r="W97" i="5" s="1"/>
  <c r="AJ126" i="8" s="1"/>
  <c r="L7" i="2"/>
  <c r="L51" i="4" s="1"/>
  <c r="Q39" i="5" s="1"/>
  <c r="AH70" i="8" s="1"/>
  <c r="I8" i="2"/>
  <c r="I88" i="4" s="1"/>
  <c r="C9" i="2"/>
  <c r="C388" i="4" s="1"/>
  <c r="C390" i="5" s="1"/>
  <c r="U9" i="2"/>
  <c r="O10" i="2"/>
  <c r="O107" i="4" s="1"/>
  <c r="U59" i="5" s="1"/>
  <c r="I11" i="2"/>
  <c r="I103" i="4" s="1"/>
  <c r="C12" i="2"/>
  <c r="U12" i="2"/>
  <c r="O13" i="2"/>
  <c r="O104" i="4" s="1"/>
  <c r="U56" i="5" s="1"/>
  <c r="I14" i="2"/>
  <c r="I233" i="4" s="1"/>
  <c r="L29" i="5" s="1"/>
  <c r="C15" i="2"/>
  <c r="C75" i="4" s="1"/>
  <c r="C250" i="5" s="1"/>
  <c r="U15" i="2"/>
  <c r="O16" i="2"/>
  <c r="I17" i="2"/>
  <c r="I171" i="4" s="1"/>
  <c r="L69" i="5" s="1"/>
  <c r="C18" i="2"/>
  <c r="C113" i="4" s="1"/>
  <c r="C135" i="5" s="1"/>
  <c r="U18" i="2"/>
  <c r="O19" i="2"/>
  <c r="I20" i="2"/>
  <c r="C21" i="2"/>
  <c r="C40" i="4" s="1"/>
  <c r="C90" i="5" s="1"/>
  <c r="R119" i="8" s="1"/>
  <c r="U21" i="2"/>
  <c r="O22" i="2"/>
  <c r="I23" i="2"/>
  <c r="I87" i="4" s="1"/>
  <c r="L298" i="5" s="1"/>
  <c r="C24" i="2"/>
  <c r="C235" i="4" s="1"/>
  <c r="C253" i="5" s="1"/>
  <c r="U24" i="2"/>
  <c r="O25" i="2"/>
  <c r="O268" i="4" s="1"/>
  <c r="U100" i="5" s="1"/>
  <c r="I26" i="2"/>
  <c r="I283" i="4" s="1"/>
  <c r="C27" i="2"/>
  <c r="C69" i="4" s="1"/>
  <c r="C170" i="5" s="1"/>
  <c r="R193" i="8" s="1"/>
  <c r="U27" i="2"/>
  <c r="O28" i="2"/>
  <c r="I29" i="2"/>
  <c r="C30" i="2"/>
  <c r="R30" i="2"/>
  <c r="J31" i="2"/>
  <c r="X31" i="2"/>
  <c r="X150" i="4" s="1"/>
  <c r="AI202" i="5" s="1"/>
  <c r="AN220" i="8" s="1"/>
  <c r="N32" i="2"/>
  <c r="N227" i="4" s="1"/>
  <c r="T203" i="5" s="1"/>
  <c r="AI19" i="8" s="1"/>
  <c r="D33" i="2"/>
  <c r="D153" i="4" s="1"/>
  <c r="E206" i="5" s="1"/>
  <c r="Q33" i="2"/>
  <c r="Q153" i="4" s="1"/>
  <c r="X206" i="5" s="1"/>
  <c r="F34" i="2"/>
  <c r="T34" i="2"/>
  <c r="I35" i="2"/>
  <c r="V35" i="2"/>
  <c r="K36" i="2"/>
  <c r="X36" i="2"/>
  <c r="M37" i="2"/>
  <c r="M154" i="4" s="1"/>
  <c r="R207" i="5" s="1"/>
  <c r="Z37" i="2"/>
  <c r="Z154" i="4" s="1"/>
  <c r="AL207" i="5" s="1"/>
  <c r="O38" i="2"/>
  <c r="D39" i="2"/>
  <c r="D186" i="4" s="1"/>
  <c r="E150" i="5" s="1"/>
  <c r="AD174" i="8" s="1"/>
  <c r="Q39" i="2"/>
  <c r="Q251" i="4" s="1"/>
  <c r="X280" i="5" s="1"/>
  <c r="F40" i="2"/>
  <c r="R40" i="2"/>
  <c r="F41" i="2"/>
  <c r="R41" i="2"/>
  <c r="F42" i="2"/>
  <c r="F95" i="4" s="1"/>
  <c r="H273" i="5" s="1"/>
  <c r="R42" i="2"/>
  <c r="F43" i="2"/>
  <c r="R43" i="2"/>
  <c r="F44" i="2"/>
  <c r="R44" i="2"/>
  <c r="F46" i="2"/>
  <c r="R46" i="2"/>
  <c r="F47" i="2"/>
  <c r="R47" i="2"/>
  <c r="N51" i="2"/>
  <c r="N357" i="4" s="1"/>
  <c r="T361" i="5" s="1"/>
  <c r="AI360" i="8" s="1"/>
  <c r="Z51" i="2"/>
  <c r="Z371" i="4" s="1"/>
  <c r="AL355" i="5" s="1"/>
  <c r="D2" i="2"/>
  <c r="D3" i="2"/>
  <c r="D4" i="2"/>
  <c r="X4" i="2"/>
  <c r="X109" i="4" s="1"/>
  <c r="AI65" i="5" s="1"/>
  <c r="AN94" i="8" s="1"/>
  <c r="AZ94" i="8" s="1"/>
  <c r="P94" i="8" s="1"/>
  <c r="U5" i="2"/>
  <c r="Q6" i="2"/>
  <c r="Q28" i="4" s="1"/>
  <c r="X97" i="5" s="1"/>
  <c r="O7" i="2"/>
  <c r="J8" i="2"/>
  <c r="J88" i="4" s="1"/>
  <c r="D9" i="2"/>
  <c r="V9" i="2"/>
  <c r="P10" i="2"/>
  <c r="P107" i="4" s="1"/>
  <c r="W59" i="5" s="1"/>
  <c r="AJ88" i="8" s="1"/>
  <c r="J11" i="2"/>
  <c r="J103" i="4" s="1"/>
  <c r="D12" i="2"/>
  <c r="D57" i="4" s="1"/>
  <c r="E257" i="5" s="1"/>
  <c r="V12" i="2"/>
  <c r="P13" i="2"/>
  <c r="P104" i="4" s="1"/>
  <c r="W56" i="5" s="1"/>
  <c r="AJ85" i="8" s="1"/>
  <c r="J14" i="2"/>
  <c r="J233" i="4" s="1"/>
  <c r="N29" i="5" s="1"/>
  <c r="D15" i="2"/>
  <c r="D68" i="4" s="1"/>
  <c r="E165" i="5" s="1"/>
  <c r="AD188" i="8" s="1"/>
  <c r="V15" i="2"/>
  <c r="P16" i="2"/>
  <c r="J17" i="2"/>
  <c r="J171" i="4" s="1"/>
  <c r="N69" i="5" s="1"/>
  <c r="D18" i="2"/>
  <c r="D113" i="4" s="1"/>
  <c r="E135" i="5" s="1"/>
  <c r="V18" i="2"/>
  <c r="P19" i="2"/>
  <c r="J20" i="2"/>
  <c r="D21" i="2"/>
  <c r="D40" i="4" s="1"/>
  <c r="E90" i="5" s="1"/>
  <c r="V21" i="2"/>
  <c r="V40" i="4" s="1"/>
  <c r="AF90" i="5" s="1"/>
  <c r="AM119" i="8" s="1"/>
  <c r="P22" i="2"/>
  <c r="J23" i="2"/>
  <c r="J87" i="4" s="1"/>
  <c r="N298" i="5" s="1"/>
  <c r="D24" i="2"/>
  <c r="D235" i="4" s="1"/>
  <c r="E253" i="5" s="1"/>
  <c r="V24" i="2"/>
  <c r="P25" i="2"/>
  <c r="P300" i="4" s="1"/>
  <c r="W153" i="5" s="1"/>
  <c r="AJ177" i="8" s="1"/>
  <c r="AV177" i="8" s="1"/>
  <c r="L177" i="8" s="1"/>
  <c r="J26" i="2"/>
  <c r="J283" i="4" s="1"/>
  <c r="D27" i="2"/>
  <c r="D69" i="4" s="1"/>
  <c r="E170" i="5" s="1"/>
  <c r="V27" i="2"/>
  <c r="P28" i="2"/>
  <c r="J29" i="2"/>
  <c r="D30" i="2"/>
  <c r="U30" i="2"/>
  <c r="K31" i="2"/>
  <c r="K150" i="4" s="1"/>
  <c r="Y31" i="2"/>
  <c r="Y150" i="4" s="1"/>
  <c r="AJ202" i="5" s="1"/>
  <c r="O32" i="2"/>
  <c r="E33" i="2"/>
  <c r="R33" i="2"/>
  <c r="H34" i="2"/>
  <c r="U34" i="2"/>
  <c r="J35" i="2"/>
  <c r="W35" i="2"/>
  <c r="W146" i="4" s="1"/>
  <c r="AG284" i="5" s="1"/>
  <c r="L36" i="2"/>
  <c r="Y36" i="2"/>
  <c r="N37" i="2"/>
  <c r="N154" i="4" s="1"/>
  <c r="T207" i="5" s="1"/>
  <c r="AI222" i="8" s="1"/>
  <c r="C38" i="2"/>
  <c r="F82" i="2"/>
  <c r="F2" i="2"/>
  <c r="F3" i="2"/>
  <c r="F4" i="2"/>
  <c r="D5" i="2"/>
  <c r="D66" i="4" s="1"/>
  <c r="E277" i="5" s="1"/>
  <c r="AD285" i="8" s="1"/>
  <c r="X5" i="2"/>
  <c r="X12" i="4" s="1"/>
  <c r="AI263" i="5" s="1"/>
  <c r="AN272" i="8" s="1"/>
  <c r="AZ272" i="8" s="1"/>
  <c r="P272" i="8" s="1"/>
  <c r="U6" i="2"/>
  <c r="Q7" i="2"/>
  <c r="L8" i="2"/>
  <c r="L88" i="4" s="1"/>
  <c r="Q44" i="5" s="1"/>
  <c r="AH75" i="8" s="1"/>
  <c r="AT75" i="8" s="1"/>
  <c r="J75" i="8" s="1"/>
  <c r="F9" i="2"/>
  <c r="X9" i="2"/>
  <c r="R10" i="2"/>
  <c r="R107" i="4" s="1"/>
  <c r="L11" i="2"/>
  <c r="L103" i="4" s="1"/>
  <c r="Q55" i="5" s="1"/>
  <c r="AH84" i="8" s="1"/>
  <c r="F12" i="2"/>
  <c r="X12" i="2"/>
  <c r="R13" i="2"/>
  <c r="R104" i="4" s="1"/>
  <c r="L14" i="2"/>
  <c r="F15" i="2"/>
  <c r="X15" i="2"/>
  <c r="X273" i="4" s="1"/>
  <c r="AI51" i="5" s="1"/>
  <c r="AN80" i="8" s="1"/>
  <c r="AZ80" i="8" s="1"/>
  <c r="R16" i="2"/>
  <c r="L17" i="2"/>
  <c r="L171" i="4" s="1"/>
  <c r="Q69" i="5" s="1"/>
  <c r="AH98" i="8" s="1"/>
  <c r="F18" i="2"/>
  <c r="X18" i="2"/>
  <c r="R19" i="2"/>
  <c r="L20" i="2"/>
  <c r="F21" i="2"/>
  <c r="F40" i="4" s="1"/>
  <c r="X21" i="2"/>
  <c r="X40" i="4" s="1"/>
  <c r="AI90" i="5" s="1"/>
  <c r="AN119" i="8" s="1"/>
  <c r="R22" i="2"/>
  <c r="L23" i="2"/>
  <c r="L87" i="4" s="1"/>
  <c r="Q298" i="5" s="1"/>
  <c r="AH304" i="8" s="1"/>
  <c r="AT304" i="8" s="1"/>
  <c r="J304" i="8" s="1"/>
  <c r="F24" i="2"/>
  <c r="X24" i="2"/>
  <c r="X138" i="4" s="1"/>
  <c r="AI86" i="5" s="1"/>
  <c r="AN115" i="8" s="1"/>
  <c r="AZ115" i="8" s="1"/>
  <c r="P115" i="8" s="1"/>
  <c r="R25" i="2"/>
  <c r="L26" i="2"/>
  <c r="L283" i="4" s="1"/>
  <c r="Q102" i="5" s="1"/>
  <c r="AH131" i="8" s="1"/>
  <c r="AT131" i="8" s="1"/>
  <c r="J131" i="8" s="1"/>
  <c r="F27" i="2"/>
  <c r="X27" i="2"/>
  <c r="R28" i="2"/>
  <c r="L29" i="2"/>
  <c r="F30" i="2"/>
  <c r="W30" i="2"/>
  <c r="W301" i="4" s="1"/>
  <c r="AG189" i="5" s="1"/>
  <c r="M31" i="2"/>
  <c r="M150" i="4" s="1"/>
  <c r="R202" i="5" s="1"/>
  <c r="C32" i="2"/>
  <c r="C145" i="4" s="1"/>
  <c r="C178" i="5" s="1"/>
  <c r="Q32" i="2"/>
  <c r="Q162" i="4" s="1"/>
  <c r="X237" i="5" s="1"/>
  <c r="H33" i="2"/>
  <c r="H201" i="4" s="1"/>
  <c r="K249" i="5" s="1"/>
  <c r="U33" i="2"/>
  <c r="J34" i="2"/>
  <c r="W34" i="2"/>
  <c r="W151" i="4" s="1"/>
  <c r="AG204" i="5" s="1"/>
  <c r="L35" i="2"/>
  <c r="Y35" i="2"/>
  <c r="N36" i="2"/>
  <c r="N147" i="4" s="1"/>
  <c r="T293" i="5" s="1"/>
  <c r="AI300" i="8" s="1"/>
  <c r="C37" i="2"/>
  <c r="C154" i="4" s="1"/>
  <c r="C207" i="5" s="1"/>
  <c r="R222" i="8" s="1"/>
  <c r="P37" i="2"/>
  <c r="P154" i="4" s="1"/>
  <c r="W207" i="5" s="1"/>
  <c r="AJ222" i="8" s="1"/>
  <c r="E38" i="2"/>
  <c r="R38" i="2"/>
  <c r="H39" i="2"/>
  <c r="H94" i="4" s="1"/>
  <c r="K120" i="5" s="1"/>
  <c r="U39" i="2"/>
  <c r="I40" i="2"/>
  <c r="U40" i="2"/>
  <c r="I41" i="2"/>
  <c r="U41" i="2"/>
  <c r="I42" i="2"/>
  <c r="U42" i="2"/>
  <c r="L82" i="2"/>
  <c r="L80" i="4" s="1"/>
  <c r="Q134" i="5" s="1"/>
  <c r="AH159" i="8" s="1"/>
  <c r="AT159" i="8" s="1"/>
  <c r="J159" i="8" s="1"/>
  <c r="P2" i="2"/>
  <c r="V3" i="2"/>
  <c r="E5" i="2"/>
  <c r="E12" i="4" s="1"/>
  <c r="F6" i="2"/>
  <c r="F28" i="4" s="1"/>
  <c r="I7" i="2"/>
  <c r="O8" i="2"/>
  <c r="O88" i="4" s="1"/>
  <c r="U44" i="5" s="1"/>
  <c r="L9" i="2"/>
  <c r="K10" i="2"/>
  <c r="O11" i="2"/>
  <c r="O103" i="4" s="1"/>
  <c r="U55" i="5" s="1"/>
  <c r="L12" i="2"/>
  <c r="K13" i="2"/>
  <c r="O14" i="2"/>
  <c r="O234" i="4" s="1"/>
  <c r="U30" i="5" s="1"/>
  <c r="L15" i="2"/>
  <c r="L68" i="4" s="1"/>
  <c r="Q165" i="5" s="1"/>
  <c r="AH188" i="8" s="1"/>
  <c r="AT188" i="8" s="1"/>
  <c r="J188" i="8" s="1"/>
  <c r="K16" i="2"/>
  <c r="O17" i="2"/>
  <c r="O171" i="4" s="1"/>
  <c r="U69" i="5" s="1"/>
  <c r="L18" i="2"/>
  <c r="K19" i="2"/>
  <c r="O20" i="2"/>
  <c r="L21" i="2"/>
  <c r="L40" i="4" s="1"/>
  <c r="Q90" i="5" s="1"/>
  <c r="K22" i="2"/>
  <c r="O23" i="2"/>
  <c r="O87" i="4" s="1"/>
  <c r="U298" i="5" s="1"/>
  <c r="L24" i="2"/>
  <c r="K25" i="2"/>
  <c r="O26" i="2"/>
  <c r="O283" i="4" s="1"/>
  <c r="U102" i="5" s="1"/>
  <c r="L27" i="2"/>
  <c r="L115" i="4" s="1"/>
  <c r="Q161" i="5" s="1"/>
  <c r="AH184" i="8" s="1"/>
  <c r="AT184" i="8" s="1"/>
  <c r="J184" i="8" s="1"/>
  <c r="K28" i="2"/>
  <c r="K42" i="4" s="1"/>
  <c r="O29" i="2"/>
  <c r="O49" i="4" s="1"/>
  <c r="U34" i="5" s="1"/>
  <c r="L30" i="2"/>
  <c r="L255" i="4" s="1"/>
  <c r="Q195" i="5" s="1"/>
  <c r="AH214" i="8" s="1"/>
  <c r="AT214" i="8" s="1"/>
  <c r="J214" i="8" s="1"/>
  <c r="F31" i="2"/>
  <c r="D32" i="2"/>
  <c r="D197" i="4" s="1"/>
  <c r="E234" i="5" s="1"/>
  <c r="W32" i="2"/>
  <c r="W93" i="4" s="1"/>
  <c r="AG112" i="5" s="1"/>
  <c r="O33" i="2"/>
  <c r="K34" i="2"/>
  <c r="K152" i="4" s="1"/>
  <c r="C35" i="2"/>
  <c r="T35" i="2"/>
  <c r="Q2" i="2"/>
  <c r="Q179" i="4" s="1"/>
  <c r="X261" i="5" s="1"/>
  <c r="X3" i="2"/>
  <c r="F5" i="2"/>
  <c r="F12" i="4" s="1"/>
  <c r="I6" i="2"/>
  <c r="I28" i="4" s="1"/>
  <c r="J7" i="2"/>
  <c r="P8" i="2"/>
  <c r="P88" i="4" s="1"/>
  <c r="W44" i="5" s="1"/>
  <c r="AJ75" i="8" s="1"/>
  <c r="O9" i="2"/>
  <c r="L10" i="2"/>
  <c r="L107" i="4" s="1"/>
  <c r="Q59" i="5" s="1"/>
  <c r="AH88" i="8" s="1"/>
  <c r="AT88" i="8" s="1"/>
  <c r="J88" i="8" s="1"/>
  <c r="P11" i="2"/>
  <c r="P103" i="4" s="1"/>
  <c r="W55" i="5" s="1"/>
  <c r="AJ84" i="8" s="1"/>
  <c r="O12" i="2"/>
  <c r="O106" i="4" s="1"/>
  <c r="U58" i="5" s="1"/>
  <c r="L13" i="2"/>
  <c r="L104" i="4" s="1"/>
  <c r="Q56" i="5" s="1"/>
  <c r="AH85" i="8" s="1"/>
  <c r="AT85" i="8" s="1"/>
  <c r="P14" i="2"/>
  <c r="P233" i="4" s="1"/>
  <c r="W29" i="5" s="1"/>
  <c r="AJ61" i="8" s="1"/>
  <c r="O15" i="2"/>
  <c r="O273" i="4" s="1"/>
  <c r="U51" i="5" s="1"/>
  <c r="L16" i="2"/>
  <c r="L206" i="4" s="1"/>
  <c r="Q71" i="5" s="1"/>
  <c r="AH100" i="8" s="1"/>
  <c r="AT100" i="8" s="1"/>
  <c r="J100" i="8" s="1"/>
  <c r="P17" i="2"/>
  <c r="P171" i="4" s="1"/>
  <c r="W69" i="5" s="1"/>
  <c r="AJ98" i="8" s="1"/>
  <c r="O18" i="2"/>
  <c r="L19" i="2"/>
  <c r="P20" i="2"/>
  <c r="O21" i="2"/>
  <c r="O40" i="4" s="1"/>
  <c r="U90" i="5" s="1"/>
  <c r="L22" i="2"/>
  <c r="L111" i="4" s="1"/>
  <c r="Q94" i="5" s="1"/>
  <c r="AH123" i="8" s="1"/>
  <c r="AT123" i="8" s="1"/>
  <c r="J123" i="8" s="1"/>
  <c r="P23" i="2"/>
  <c r="P87" i="4" s="1"/>
  <c r="W298" i="5" s="1"/>
  <c r="AJ304" i="8" s="1"/>
  <c r="O24" i="2"/>
  <c r="L25" i="2"/>
  <c r="P26" i="2"/>
  <c r="P283" i="4" s="1"/>
  <c r="W102" i="5" s="1"/>
  <c r="AJ131" i="8" s="1"/>
  <c r="O27" i="2"/>
  <c r="O115" i="4" s="1"/>
  <c r="U161" i="5" s="1"/>
  <c r="L28" i="2"/>
  <c r="P29" i="2"/>
  <c r="P47" i="4" s="1"/>
  <c r="W33" i="5" s="1"/>
  <c r="AJ64" i="8" s="1"/>
  <c r="N30" i="2"/>
  <c r="I31" i="2"/>
  <c r="E32" i="2"/>
  <c r="X32" i="2"/>
  <c r="P33" i="2"/>
  <c r="P153" i="4" s="1"/>
  <c r="W206" i="5" s="1"/>
  <c r="AJ221" i="8" s="1"/>
  <c r="L34" i="2"/>
  <c r="D35" i="2"/>
  <c r="U35" i="2"/>
  <c r="P36" i="2"/>
  <c r="P147" i="4" s="1"/>
  <c r="W293" i="5" s="1"/>
  <c r="AJ300" i="8" s="1"/>
  <c r="I37" i="2"/>
  <c r="I154" i="4" s="1"/>
  <c r="L207" i="5" s="1"/>
  <c r="Y37" i="2"/>
  <c r="Y154" i="4" s="1"/>
  <c r="AJ207" i="5" s="1"/>
  <c r="T38" i="2"/>
  <c r="K39" i="2"/>
  <c r="Z39" i="2"/>
  <c r="Z64" i="4" s="1"/>
  <c r="AL3" i="5" s="1"/>
  <c r="P40" i="2"/>
  <c r="P296" i="4" s="1"/>
  <c r="W156" i="5" s="1"/>
  <c r="AJ180" i="8" s="1"/>
  <c r="G41" i="2"/>
  <c r="V41" i="2"/>
  <c r="L42" i="2"/>
  <c r="Z42" i="2"/>
  <c r="O43" i="2"/>
  <c r="D44" i="2"/>
  <c r="D250" i="4" s="1"/>
  <c r="E103" i="5" s="1"/>
  <c r="AD132" i="8" s="1"/>
  <c r="Q44" i="2"/>
  <c r="G45" i="2"/>
  <c r="T45" i="2"/>
  <c r="T303" i="4" s="1"/>
  <c r="AC303" i="5" s="1"/>
  <c r="AL305" i="8" s="1"/>
  <c r="I46" i="2"/>
  <c r="I341" i="4" s="1"/>
  <c r="L333" i="5" s="1"/>
  <c r="V46" i="2"/>
  <c r="R2" i="2"/>
  <c r="E4" i="2"/>
  <c r="I5" i="2"/>
  <c r="I12" i="4" s="1"/>
  <c r="J6" i="2"/>
  <c r="J28" i="4" s="1"/>
  <c r="P7" i="2"/>
  <c r="Q8" i="2"/>
  <c r="Q88" i="4" s="1"/>
  <c r="X44" i="5" s="1"/>
  <c r="P9" i="2"/>
  <c r="P89" i="4" s="1"/>
  <c r="W48" i="5" s="1"/>
  <c r="AJ6" i="8" s="1"/>
  <c r="AV6" i="8" s="1"/>
  <c r="L6" i="8" s="1"/>
  <c r="Q10" i="2"/>
  <c r="Q107" i="4" s="1"/>
  <c r="X59" i="5" s="1"/>
  <c r="Q11" i="2"/>
  <c r="Q103" i="4" s="1"/>
  <c r="X55" i="5" s="1"/>
  <c r="P12" i="2"/>
  <c r="Q13" i="2"/>
  <c r="Q104" i="4" s="1"/>
  <c r="X56" i="5" s="1"/>
  <c r="Q14" i="2"/>
  <c r="P15" i="2"/>
  <c r="P75" i="4" s="1"/>
  <c r="W250" i="5" s="1"/>
  <c r="AJ260" i="8" s="1"/>
  <c r="Q16" i="2"/>
  <c r="Q206" i="4" s="1"/>
  <c r="X71" i="5" s="1"/>
  <c r="Q17" i="2"/>
  <c r="Q171" i="4" s="1"/>
  <c r="X69" i="5" s="1"/>
  <c r="P18" i="2"/>
  <c r="P67" i="4" s="1"/>
  <c r="W164" i="5" s="1"/>
  <c r="AJ187" i="8" s="1"/>
  <c r="Q19" i="2"/>
  <c r="Q20" i="2"/>
  <c r="P21" i="2"/>
  <c r="P40" i="4" s="1"/>
  <c r="W90" i="5" s="1"/>
  <c r="AJ119" i="8" s="1"/>
  <c r="Q22" i="2"/>
  <c r="Q111" i="4" s="1"/>
  <c r="X94" i="5" s="1"/>
  <c r="Q23" i="2"/>
  <c r="Q87" i="4" s="1"/>
  <c r="X298" i="5" s="1"/>
  <c r="P24" i="2"/>
  <c r="Q25" i="2"/>
  <c r="Q300" i="4" s="1"/>
  <c r="X153" i="5" s="1"/>
  <c r="Q26" i="2"/>
  <c r="Q283" i="4" s="1"/>
  <c r="X102" i="5" s="1"/>
  <c r="P27" i="2"/>
  <c r="P392" i="4" s="1"/>
  <c r="W413" i="5" s="1"/>
  <c r="AJ404" i="8" s="1"/>
  <c r="AV404" i="8" s="1"/>
  <c r="L404" i="8" s="1"/>
  <c r="Q28" i="2"/>
  <c r="Q29" i="2"/>
  <c r="Q46" i="4" s="1"/>
  <c r="X32" i="5" s="1"/>
  <c r="O30" i="2"/>
  <c r="O255" i="4" s="1"/>
  <c r="U195" i="5" s="1"/>
  <c r="L31" i="2"/>
  <c r="L150" i="4" s="1"/>
  <c r="Q202" i="5" s="1"/>
  <c r="AH220" i="8" s="1"/>
  <c r="F32" i="2"/>
  <c r="Y32" i="2"/>
  <c r="Y162" i="4" s="1"/>
  <c r="AJ237" i="5" s="1"/>
  <c r="T33" i="2"/>
  <c r="M34" i="2"/>
  <c r="E35" i="2"/>
  <c r="E188" i="4" s="1"/>
  <c r="F152" i="5" s="1"/>
  <c r="X35" i="2"/>
  <c r="Q36" i="2"/>
  <c r="Q212" i="4" s="1"/>
  <c r="X23" i="5" s="1"/>
  <c r="J37" i="2"/>
  <c r="J154" i="4" s="1"/>
  <c r="N207" i="5" s="1"/>
  <c r="D38" i="2"/>
  <c r="U38" i="2"/>
  <c r="L39" i="2"/>
  <c r="L247" i="4" s="1"/>
  <c r="Q231" i="5" s="1"/>
  <c r="AH243" i="8" s="1"/>
  <c r="AT243" i="8" s="1"/>
  <c r="J243" i="8" s="1"/>
  <c r="C40" i="2"/>
  <c r="Q40" i="2"/>
  <c r="H41" i="2"/>
  <c r="H288" i="4" s="1"/>
  <c r="K214" i="5" s="1"/>
  <c r="W41" i="2"/>
  <c r="M42" i="2"/>
  <c r="M160" i="4" s="1"/>
  <c r="R216" i="5" s="1"/>
  <c r="C43" i="2"/>
  <c r="P43" i="2"/>
  <c r="P242" i="4" s="1"/>
  <c r="W146" i="5" s="1"/>
  <c r="AJ171" i="8" s="1"/>
  <c r="E44" i="2"/>
  <c r="S44" i="2"/>
  <c r="J46" i="2"/>
  <c r="J342" i="4" s="1"/>
  <c r="N334" i="5" s="1"/>
  <c r="W46" i="2"/>
  <c r="L47" i="2"/>
  <c r="Y47" i="2"/>
  <c r="P50" i="2"/>
  <c r="C51" i="2"/>
  <c r="C357" i="4" s="1"/>
  <c r="C361" i="5" s="1"/>
  <c r="R360" i="8" s="1"/>
  <c r="P51" i="2"/>
  <c r="P373" i="4" s="1"/>
  <c r="W357" i="5" s="1"/>
  <c r="AJ356" i="8" s="1"/>
  <c r="N58" i="2"/>
  <c r="Z58" i="2"/>
  <c r="Z131" i="4" s="1"/>
  <c r="AL199" i="5" s="1"/>
  <c r="C82" i="2"/>
  <c r="C81" i="4" s="1"/>
  <c r="C147" i="5" s="1"/>
  <c r="X2" i="2"/>
  <c r="J4" i="2"/>
  <c r="L5" i="2"/>
  <c r="L12" i="4" s="1"/>
  <c r="Q263" i="5" s="1"/>
  <c r="AH272" i="8" s="1"/>
  <c r="AT272" i="8" s="1"/>
  <c r="J272" i="8" s="1"/>
  <c r="O6" i="2"/>
  <c r="O28" i="4" s="1"/>
  <c r="U97" i="5" s="1"/>
  <c r="U7" i="2"/>
  <c r="U8" i="2"/>
  <c r="R9" i="2"/>
  <c r="V10" i="2"/>
  <c r="U11" i="2"/>
  <c r="R12" i="2"/>
  <c r="V13" i="2"/>
  <c r="U14" i="2"/>
  <c r="R15" i="2"/>
  <c r="V16" i="2"/>
  <c r="U17" i="2"/>
  <c r="R18" i="2"/>
  <c r="V19" i="2"/>
  <c r="U20" i="2"/>
  <c r="R21" i="2"/>
  <c r="R40" i="4" s="1"/>
  <c r="Z90" i="5" s="1"/>
  <c r="AK119" i="8" s="1"/>
  <c r="V22" i="2"/>
  <c r="U23" i="2"/>
  <c r="R24" i="2"/>
  <c r="V25" i="2"/>
  <c r="U26" i="2"/>
  <c r="R27" i="2"/>
  <c r="V28" i="2"/>
  <c r="U29" i="2"/>
  <c r="Q30" i="2"/>
  <c r="Q254" i="4" s="1"/>
  <c r="X194" i="5" s="1"/>
  <c r="O31" i="2"/>
  <c r="J32" i="2"/>
  <c r="C33" i="2"/>
  <c r="C153" i="4" s="1"/>
  <c r="C206" i="5" s="1"/>
  <c r="R221" i="8" s="1"/>
  <c r="W33" i="2"/>
  <c r="W153" i="4" s="1"/>
  <c r="AG206" i="5" s="1"/>
  <c r="O34" i="2"/>
  <c r="O152" i="4" s="1"/>
  <c r="U205" i="5" s="1"/>
  <c r="H35" i="2"/>
  <c r="H128" i="4" s="1"/>
  <c r="K179" i="5" s="1"/>
  <c r="C36" i="2"/>
  <c r="T36" i="2"/>
  <c r="L37" i="2"/>
  <c r="L154" i="4" s="1"/>
  <c r="Q207" i="5" s="1"/>
  <c r="AH222" i="8" s="1"/>
  <c r="H38" i="2"/>
  <c r="W38" i="2"/>
  <c r="N39" i="2"/>
  <c r="N266" i="4" s="1"/>
  <c r="T7" i="5" s="1"/>
  <c r="AI43" i="8" s="1"/>
  <c r="E40" i="2"/>
  <c r="T40" i="2"/>
  <c r="K41" i="2"/>
  <c r="Y41" i="2"/>
  <c r="Y223" i="4" s="1"/>
  <c r="AJ15" i="5" s="1"/>
  <c r="O42" i="2"/>
  <c r="O160" i="4" s="1"/>
  <c r="U216" i="5" s="1"/>
  <c r="E43" i="2"/>
  <c r="E242" i="4" s="1"/>
  <c r="F146" i="5" s="1"/>
  <c r="O82" i="2"/>
  <c r="E3" i="2"/>
  <c r="L4" i="2"/>
  <c r="L38" i="4" s="1"/>
  <c r="Q63" i="5" s="1"/>
  <c r="AH92" i="8" s="1"/>
  <c r="AT92" i="8" s="1"/>
  <c r="J92" i="8" s="1"/>
  <c r="O5" i="2"/>
  <c r="R6" i="2"/>
  <c r="R28" i="4" s="1"/>
  <c r="V7" i="2"/>
  <c r="P82" i="2"/>
  <c r="P81" i="4" s="1"/>
  <c r="W147" i="5" s="1"/>
  <c r="AJ172" i="8" s="1"/>
  <c r="AV172" i="8" s="1"/>
  <c r="L172" i="8" s="1"/>
  <c r="J3" i="2"/>
  <c r="O4" i="2"/>
  <c r="O200" i="4" s="1"/>
  <c r="U244" i="5" s="1"/>
  <c r="P5" i="2"/>
  <c r="P12" i="4" s="1"/>
  <c r="W263" i="5" s="1"/>
  <c r="AJ272" i="8" s="1"/>
  <c r="V6" i="2"/>
  <c r="V28" i="4" s="1"/>
  <c r="AF97" i="5" s="1"/>
  <c r="X7" i="2"/>
  <c r="X167" i="4" s="1"/>
  <c r="AI247" i="5" s="1"/>
  <c r="AN258" i="8" s="1"/>
  <c r="AZ258" i="8" s="1"/>
  <c r="P258" i="8" s="1"/>
  <c r="W8" i="2"/>
  <c r="C10" i="2"/>
  <c r="C107" i="4" s="1"/>
  <c r="C59" i="5" s="1"/>
  <c r="X10" i="2"/>
  <c r="X107" i="4" s="1"/>
  <c r="AI59" i="5" s="1"/>
  <c r="AN88" i="8" s="1"/>
  <c r="AZ88" i="8" s="1"/>
  <c r="P88" i="8" s="1"/>
  <c r="W11" i="2"/>
  <c r="C13" i="2"/>
  <c r="C104" i="4" s="1"/>
  <c r="C56" i="5" s="1"/>
  <c r="R85" i="8" s="1"/>
  <c r="X13" i="2"/>
  <c r="X104" i="4" s="1"/>
  <c r="AI56" i="5" s="1"/>
  <c r="AN85" i="8" s="1"/>
  <c r="AZ85" i="8" s="1"/>
  <c r="W14" i="2"/>
  <c r="C16" i="2"/>
  <c r="X16" i="2"/>
  <c r="W17" i="2"/>
  <c r="C19" i="2"/>
  <c r="C140" i="4" s="1"/>
  <c r="C14" i="5" s="1"/>
  <c r="X19" i="2"/>
  <c r="X140" i="4" s="1"/>
  <c r="AI14" i="5" s="1"/>
  <c r="AN49" i="8" s="1"/>
  <c r="AZ49" i="8" s="1"/>
  <c r="P49" i="8" s="1"/>
  <c r="W20" i="2"/>
  <c r="C22" i="2"/>
  <c r="C15" i="4" s="1"/>
  <c r="C181" i="5" s="1"/>
  <c r="X22" i="2"/>
  <c r="X15" i="4" s="1"/>
  <c r="AI181" i="5" s="1"/>
  <c r="AN202" i="8" s="1"/>
  <c r="AZ202" i="8" s="1"/>
  <c r="P202" i="8" s="1"/>
  <c r="W23" i="2"/>
  <c r="C25" i="2"/>
  <c r="X25" i="2"/>
  <c r="W26" i="2"/>
  <c r="C28" i="2"/>
  <c r="X28" i="2"/>
  <c r="W29" i="2"/>
  <c r="W48" i="4" s="1"/>
  <c r="AG233" i="5" s="1"/>
  <c r="X30" i="2"/>
  <c r="X254" i="4" s="1"/>
  <c r="AI194" i="5" s="1"/>
  <c r="AN213" i="8" s="1"/>
  <c r="AZ213" i="8" s="1"/>
  <c r="P213" i="8" s="1"/>
  <c r="Q31" i="2"/>
  <c r="Q150" i="4" s="1"/>
  <c r="X202" i="5" s="1"/>
  <c r="L32" i="2"/>
  <c r="L143" i="4" s="1"/>
  <c r="Q126" i="5" s="1"/>
  <c r="AH151" i="8" s="1"/>
  <c r="I33" i="2"/>
  <c r="Y33" i="2"/>
  <c r="Y153" i="4" s="1"/>
  <c r="AJ206" i="5" s="1"/>
  <c r="Q34" i="2"/>
  <c r="M35" i="2"/>
  <c r="M188" i="4" s="1"/>
  <c r="R152" i="5" s="1"/>
  <c r="E36" i="2"/>
  <c r="V36" i="2"/>
  <c r="Q37" i="2"/>
  <c r="Q154" i="4" s="1"/>
  <c r="X207" i="5" s="1"/>
  <c r="J38" i="2"/>
  <c r="Y38" i="2"/>
  <c r="R82" i="2"/>
  <c r="L3" i="2"/>
  <c r="P4" i="2"/>
  <c r="P218" i="4" s="1"/>
  <c r="W242" i="5" s="1"/>
  <c r="AJ253" i="8" s="1"/>
  <c r="AV253" i="8" s="1"/>
  <c r="L253" i="8" s="1"/>
  <c r="Q5" i="2"/>
  <c r="Q12" i="4" s="1"/>
  <c r="X263" i="5" s="1"/>
  <c r="X6" i="2"/>
  <c r="X28" i="4" s="1"/>
  <c r="AI97" i="5" s="1"/>
  <c r="AN126" i="8" s="1"/>
  <c r="AZ126" i="8" s="1"/>
  <c r="P126" i="8" s="1"/>
  <c r="C8" i="2"/>
  <c r="C88" i="4" s="1"/>
  <c r="C44" i="5" s="1"/>
  <c r="X8" i="2"/>
  <c r="X88" i="4" s="1"/>
  <c r="AI44" i="5" s="1"/>
  <c r="AN75" i="8" s="1"/>
  <c r="AZ75" i="8" s="1"/>
  <c r="P75" i="8" s="1"/>
  <c r="D10" i="2"/>
  <c r="D107" i="4" s="1"/>
  <c r="E59" i="5" s="1"/>
  <c r="C11" i="2"/>
  <c r="C103" i="4" s="1"/>
  <c r="C55" i="5" s="1"/>
  <c r="X11" i="2"/>
  <c r="X103" i="4" s="1"/>
  <c r="AI55" i="5" s="1"/>
  <c r="AN84" i="8" s="1"/>
  <c r="AZ84" i="8" s="1"/>
  <c r="D13" i="2"/>
  <c r="D104" i="4" s="1"/>
  <c r="E56" i="5" s="1"/>
  <c r="C14" i="2"/>
  <c r="C234" i="4" s="1"/>
  <c r="C30" i="5" s="1"/>
  <c r="X14" i="2"/>
  <c r="D16" i="2"/>
  <c r="D39" i="4" s="1"/>
  <c r="E64" i="5" s="1"/>
  <c r="C17" i="2"/>
  <c r="C171" i="4" s="1"/>
  <c r="C69" i="5" s="1"/>
  <c r="R98" i="8" s="1"/>
  <c r="X17" i="2"/>
  <c r="X171" i="4" s="1"/>
  <c r="AI69" i="5" s="1"/>
  <c r="AN98" i="8" s="1"/>
  <c r="AZ98" i="8" s="1"/>
  <c r="D19" i="2"/>
  <c r="D208" i="4" s="1"/>
  <c r="E75" i="5" s="1"/>
  <c r="C20" i="2"/>
  <c r="X20" i="2"/>
  <c r="D22" i="2"/>
  <c r="C23" i="2"/>
  <c r="C87" i="4" s="1"/>
  <c r="C298" i="5" s="1"/>
  <c r="X23" i="2"/>
  <c r="X87" i="4" s="1"/>
  <c r="AI298" i="5" s="1"/>
  <c r="AN304" i="8" s="1"/>
  <c r="AZ304" i="8" s="1"/>
  <c r="P304" i="8" s="1"/>
  <c r="D25" i="2"/>
  <c r="C26" i="2"/>
  <c r="C283" i="4" s="1"/>
  <c r="C102" i="5" s="1"/>
  <c r="X26" i="2"/>
  <c r="X283" i="4" s="1"/>
  <c r="AI102" i="5" s="1"/>
  <c r="AN131" i="8" s="1"/>
  <c r="AZ131" i="8" s="1"/>
  <c r="P131" i="8" s="1"/>
  <c r="D28" i="2"/>
  <c r="C29" i="2"/>
  <c r="X29" i="2"/>
  <c r="X46" i="4" s="1"/>
  <c r="AI32" i="5" s="1"/>
  <c r="AN63" i="8" s="1"/>
  <c r="Y30" i="2"/>
  <c r="Y255" i="4" s="1"/>
  <c r="AJ195" i="5" s="1"/>
  <c r="R31" i="2"/>
  <c r="M32" i="2"/>
  <c r="M65" i="4" s="1"/>
  <c r="R148" i="5" s="1"/>
  <c r="J33" i="2"/>
  <c r="I4" i="2"/>
  <c r="D7" i="2"/>
  <c r="J9" i="2"/>
  <c r="F11" i="2"/>
  <c r="F103" i="4" s="1"/>
  <c r="I13" i="2"/>
  <c r="I104" i="4" s="1"/>
  <c r="J15" i="2"/>
  <c r="F17" i="2"/>
  <c r="F171" i="4" s="1"/>
  <c r="I19" i="2"/>
  <c r="J21" i="2"/>
  <c r="J40" i="4" s="1"/>
  <c r="N90" i="5" s="1"/>
  <c r="AG119" i="8" s="1"/>
  <c r="F23" i="2"/>
  <c r="F87" i="4" s="1"/>
  <c r="I25" i="2"/>
  <c r="I300" i="4" s="1"/>
  <c r="L153" i="5" s="1"/>
  <c r="J27" i="2"/>
  <c r="F29" i="2"/>
  <c r="D31" i="2"/>
  <c r="D150" i="4" s="1"/>
  <c r="E202" i="5" s="1"/>
  <c r="U32" i="2"/>
  <c r="D34" i="2"/>
  <c r="N35" i="2"/>
  <c r="O36" i="2"/>
  <c r="T37" i="2"/>
  <c r="Q38" i="2"/>
  <c r="Q211" i="4" s="1"/>
  <c r="X22" i="5" s="1"/>
  <c r="R39" i="2"/>
  <c r="M40" i="2"/>
  <c r="J41" i="2"/>
  <c r="D42" i="2"/>
  <c r="W42" i="2"/>
  <c r="Q43" i="2"/>
  <c r="I44" i="2"/>
  <c r="X44" i="2"/>
  <c r="O45" i="2"/>
  <c r="G46" i="2"/>
  <c r="X46" i="2"/>
  <c r="X322" i="4" s="1"/>
  <c r="AI325" i="5" s="1"/>
  <c r="AN30" i="8" s="1"/>
  <c r="AZ30" i="8" s="1"/>
  <c r="P30" i="8" s="1"/>
  <c r="N47" i="2"/>
  <c r="I50" i="2"/>
  <c r="I358" i="4" s="1"/>
  <c r="L352" i="5" s="1"/>
  <c r="W50" i="2"/>
  <c r="W370" i="4" s="1"/>
  <c r="AG354" i="5" s="1"/>
  <c r="K51" i="2"/>
  <c r="Y51" i="2"/>
  <c r="Y359" i="4" s="1"/>
  <c r="AJ363" i="5" s="1"/>
  <c r="X57" i="2"/>
  <c r="K58" i="2"/>
  <c r="X58" i="2"/>
  <c r="O61" i="2"/>
  <c r="N65" i="2"/>
  <c r="N133" i="4" s="1"/>
  <c r="T226" i="5" s="1"/>
  <c r="R4" i="2"/>
  <c r="F7" i="2"/>
  <c r="Q9" i="2"/>
  <c r="Q89" i="4" s="1"/>
  <c r="X48" i="5" s="1"/>
  <c r="R11" i="2"/>
  <c r="R103" i="4" s="1"/>
  <c r="U13" i="2"/>
  <c r="Q15" i="2"/>
  <c r="Q68" i="4" s="1"/>
  <c r="X165" i="5" s="1"/>
  <c r="E2" i="2"/>
  <c r="U4" i="2"/>
  <c r="R7" i="2"/>
  <c r="W9" i="2"/>
  <c r="W22" i="4" s="1"/>
  <c r="AG12" i="5" s="1"/>
  <c r="V11" i="2"/>
  <c r="W13" i="2"/>
  <c r="W15" i="2"/>
  <c r="W289" i="4" s="1"/>
  <c r="AG52" i="5" s="1"/>
  <c r="V17" i="2"/>
  <c r="W19" i="2"/>
  <c r="W21" i="2"/>
  <c r="W40" i="4" s="1"/>
  <c r="AG90" i="5" s="1"/>
  <c r="V23" i="2"/>
  <c r="W25" i="2"/>
  <c r="W27" i="2"/>
  <c r="V29" i="2"/>
  <c r="P31" i="2"/>
  <c r="P150" i="4" s="1"/>
  <c r="W202" i="5" s="1"/>
  <c r="AJ220" i="8" s="1"/>
  <c r="F33" i="2"/>
  <c r="N34" i="2"/>
  <c r="N152" i="4" s="1"/>
  <c r="T205" i="5" s="1"/>
  <c r="AI21" i="8" s="1"/>
  <c r="Q35" i="2"/>
  <c r="W36" i="2"/>
  <c r="W37" i="2"/>
  <c r="Z38" i="2"/>
  <c r="W39" i="2"/>
  <c r="W238" i="4" s="1"/>
  <c r="AG105" i="5" s="1"/>
  <c r="S40" i="2"/>
  <c r="N41" i="2"/>
  <c r="N193" i="4" s="1"/>
  <c r="T210" i="5" s="1"/>
  <c r="AI225" i="8" s="1"/>
  <c r="H42" i="2"/>
  <c r="H160" i="4" s="1"/>
  <c r="K216" i="5" s="1"/>
  <c r="D43" i="2"/>
  <c r="U43" i="2"/>
  <c r="L44" i="2"/>
  <c r="C45" i="2"/>
  <c r="C303" i="4" s="1"/>
  <c r="C303" i="5" s="1"/>
  <c r="R305" i="8" s="1"/>
  <c r="S45" i="2"/>
  <c r="S303" i="4" s="1"/>
  <c r="AA303" i="5" s="1"/>
  <c r="L46" i="2"/>
  <c r="L341" i="4" s="1"/>
  <c r="Q333" i="5" s="1"/>
  <c r="AH333" i="8" s="1"/>
  <c r="AT333" i="8" s="1"/>
  <c r="J333" i="8" s="1"/>
  <c r="C47" i="2"/>
  <c r="Q47" i="2"/>
  <c r="L50" i="2"/>
  <c r="Z50" i="2"/>
  <c r="Z368" i="4" s="1"/>
  <c r="AL369" i="5" s="1"/>
  <c r="O51" i="2"/>
  <c r="O58" i="2"/>
  <c r="O123" i="4" s="1"/>
  <c r="U145" i="5" s="1"/>
  <c r="N68" i="2"/>
  <c r="Z68" i="2"/>
  <c r="Z21" i="4" s="1"/>
  <c r="AL91" i="5" s="1"/>
  <c r="N73" i="2"/>
  <c r="N219" i="4" s="1"/>
  <c r="T265" i="5" s="1"/>
  <c r="AI27" i="8" s="1"/>
  <c r="Z73" i="2"/>
  <c r="Z176" i="4" s="1"/>
  <c r="AL267" i="5" s="1"/>
  <c r="J2" i="2"/>
  <c r="C5" i="2"/>
  <c r="D8" i="2"/>
  <c r="D88" i="4" s="1"/>
  <c r="E44" i="5" s="1"/>
  <c r="E10" i="2"/>
  <c r="E107" i="4" s="1"/>
  <c r="E12" i="2"/>
  <c r="D14" i="2"/>
  <c r="D272" i="4" s="1"/>
  <c r="E50" i="5" s="1"/>
  <c r="E16" i="2"/>
  <c r="E18" i="2"/>
  <c r="E67" i="4" s="1"/>
  <c r="F164" i="5" s="1"/>
  <c r="D20" i="2"/>
  <c r="E22" i="2"/>
  <c r="E24" i="2"/>
  <c r="D26" i="2"/>
  <c r="D283" i="4" s="1"/>
  <c r="E102" i="5" s="1"/>
  <c r="AD131" i="8" s="1"/>
  <c r="E28" i="2"/>
  <c r="E30" i="2"/>
  <c r="U31" i="2"/>
  <c r="K33" i="2"/>
  <c r="K153" i="4" s="1"/>
  <c r="P34" i="2"/>
  <c r="R35" i="2"/>
  <c r="Z36" i="2"/>
  <c r="X37" i="2"/>
  <c r="X154" i="4" s="1"/>
  <c r="AI207" i="5" s="1"/>
  <c r="AN222" i="8" s="1"/>
  <c r="AZ222" i="8" s="1"/>
  <c r="P222" i="8" s="1"/>
  <c r="C39" i="2"/>
  <c r="X39" i="2"/>
  <c r="X64" i="4" s="1"/>
  <c r="AI3" i="5" s="1"/>
  <c r="AN40" i="8" s="1"/>
  <c r="AZ40" i="8" s="1"/>
  <c r="V40" i="2"/>
  <c r="O41" i="2"/>
  <c r="O288" i="4" s="1"/>
  <c r="U214" i="5" s="1"/>
  <c r="J42" i="2"/>
  <c r="G43" i="2"/>
  <c r="V43" i="2"/>
  <c r="M44" i="2"/>
  <c r="D45" i="2"/>
  <c r="V45" i="2"/>
  <c r="V303" i="4" s="1"/>
  <c r="AF303" i="5" s="1"/>
  <c r="M46" i="2"/>
  <c r="M321" i="4" s="1"/>
  <c r="R324" i="5" s="1"/>
  <c r="D47" i="2"/>
  <c r="S47" i="2"/>
  <c r="M50" i="2"/>
  <c r="Q51" i="2"/>
  <c r="P57" i="2"/>
  <c r="P96" i="4" s="1"/>
  <c r="W122" i="5" s="1"/>
  <c r="AJ150" i="8" s="1"/>
  <c r="C58" i="2"/>
  <c r="C123" i="4" s="1"/>
  <c r="C145" i="5" s="1"/>
  <c r="P58" i="2"/>
  <c r="P245" i="4" s="1"/>
  <c r="W229" i="5" s="1"/>
  <c r="AJ241" i="8" s="1"/>
  <c r="C68" i="2"/>
  <c r="C21" i="4" s="1"/>
  <c r="C91" i="5" s="1"/>
  <c r="R120" i="8" s="1"/>
  <c r="O68" i="2"/>
  <c r="O21" i="4" s="1"/>
  <c r="U91" i="5" s="1"/>
  <c r="L2" i="2"/>
  <c r="J5" i="2"/>
  <c r="E8" i="2"/>
  <c r="E88" i="4" s="1"/>
  <c r="F10" i="2"/>
  <c r="F107" i="4" s="1"/>
  <c r="I12" i="2"/>
  <c r="E14" i="2"/>
  <c r="F16" i="2"/>
  <c r="I18" i="2"/>
  <c r="I16" i="4" s="1"/>
  <c r="L183" i="5" s="1"/>
  <c r="E20" i="2"/>
  <c r="F22" i="2"/>
  <c r="F15" i="4" s="1"/>
  <c r="H181" i="5" s="1"/>
  <c r="I24" i="2"/>
  <c r="E26" i="2"/>
  <c r="E283" i="4" s="1"/>
  <c r="F102" i="5" s="1"/>
  <c r="F28" i="2"/>
  <c r="I30" i="2"/>
  <c r="V31" i="2"/>
  <c r="L33" i="2"/>
  <c r="L153" i="4" s="1"/>
  <c r="Q206" i="5" s="1"/>
  <c r="AH221" i="8" s="1"/>
  <c r="AT221" i="8" s="1"/>
  <c r="J221" i="8" s="1"/>
  <c r="R34" i="2"/>
  <c r="Z35" i="2"/>
  <c r="D37" i="2"/>
  <c r="D154" i="4" s="1"/>
  <c r="E207" i="5" s="1"/>
  <c r="F38" i="2"/>
  <c r="E39" i="2"/>
  <c r="Y39" i="2"/>
  <c r="Y94" i="4" s="1"/>
  <c r="AJ120" i="5" s="1"/>
  <c r="W40" i="2"/>
  <c r="W263" i="4" s="1"/>
  <c r="AG289" i="5" s="1"/>
  <c r="P41" i="2"/>
  <c r="K42" i="2"/>
  <c r="H43" i="2"/>
  <c r="W43" i="2"/>
  <c r="N44" i="2"/>
  <c r="E45" i="2"/>
  <c r="W45" i="2"/>
  <c r="O2" i="2"/>
  <c r="V5" i="2"/>
  <c r="V12" i="4" s="1"/>
  <c r="F8" i="2"/>
  <c r="F88" i="4" s="1"/>
  <c r="I10" i="2"/>
  <c r="I107" i="4" s="1"/>
  <c r="J12" i="2"/>
  <c r="F14" i="2"/>
  <c r="I16" i="2"/>
  <c r="J18" i="2"/>
  <c r="J17" i="4" s="1"/>
  <c r="N184" i="5" s="1"/>
  <c r="F20" i="2"/>
  <c r="I22" i="2"/>
  <c r="J24" i="2"/>
  <c r="V2" i="2"/>
  <c r="C6" i="2"/>
  <c r="C28" i="4" s="1"/>
  <c r="C97" i="5" s="1"/>
  <c r="R126" i="8" s="1"/>
  <c r="K8" i="2"/>
  <c r="J10" i="2"/>
  <c r="J107" i="4" s="1"/>
  <c r="K12" i="2"/>
  <c r="K14" i="2"/>
  <c r="J16" i="2"/>
  <c r="K18" i="2"/>
  <c r="K20" i="2"/>
  <c r="J22" i="2"/>
  <c r="K24" i="2"/>
  <c r="K26" i="2"/>
  <c r="J28" i="2"/>
  <c r="K30" i="2"/>
  <c r="Z31" i="2"/>
  <c r="Z150" i="4" s="1"/>
  <c r="AL202" i="5" s="1"/>
  <c r="N33" i="2"/>
  <c r="N153" i="4" s="1"/>
  <c r="T206" i="5" s="1"/>
  <c r="AI221" i="8" s="1"/>
  <c r="X34" i="2"/>
  <c r="F36" i="2"/>
  <c r="F37" i="2"/>
  <c r="F154" i="4" s="1"/>
  <c r="K38" i="2"/>
  <c r="I39" i="2"/>
  <c r="G40" i="2"/>
  <c r="Y40" i="2"/>
  <c r="S41" i="2"/>
  <c r="P42" i="2"/>
  <c r="J43" i="2"/>
  <c r="Y43" i="2"/>
  <c r="P44" i="2"/>
  <c r="J45" i="2"/>
  <c r="Y45" i="2"/>
  <c r="P46" i="2"/>
  <c r="H47" i="2"/>
  <c r="V47" i="2"/>
  <c r="D50" i="2"/>
  <c r="D370" i="4" s="1"/>
  <c r="E354" i="5" s="1"/>
  <c r="R50" i="2"/>
  <c r="F51" i="2"/>
  <c r="T51" i="2"/>
  <c r="O54" i="2"/>
  <c r="O232" i="4" s="1"/>
  <c r="U19" i="5" s="1"/>
  <c r="O3" i="2"/>
  <c r="D6" i="2"/>
  <c r="D28" i="4" s="1"/>
  <c r="E97" i="5" s="1"/>
  <c r="AC6" i="2" s="1"/>
  <c r="R8" i="2"/>
  <c r="R88" i="4" s="1"/>
  <c r="U10" i="2"/>
  <c r="Q12" i="2"/>
  <c r="Q57" i="4" s="1"/>
  <c r="X257" i="5" s="1"/>
  <c r="R14" i="2"/>
  <c r="U16" i="2"/>
  <c r="Q18" i="2"/>
  <c r="Q17" i="4" s="1"/>
  <c r="X184" i="5" s="1"/>
  <c r="R20" i="2"/>
  <c r="U22" i="2"/>
  <c r="Q24" i="2"/>
  <c r="R26" i="2"/>
  <c r="R283" i="4" s="1"/>
  <c r="U28" i="2"/>
  <c r="P30" i="2"/>
  <c r="P254" i="4" s="1"/>
  <c r="W194" i="5" s="1"/>
  <c r="AJ213" i="8" s="1"/>
  <c r="I32" i="2"/>
  <c r="V33" i="2"/>
  <c r="Y34" i="2"/>
  <c r="H36" i="2"/>
  <c r="H147" i="4" s="1"/>
  <c r="K293" i="5" s="1"/>
  <c r="H37" i="2"/>
  <c r="H154" i="4" s="1"/>
  <c r="K207" i="5" s="1"/>
  <c r="L38" i="2"/>
  <c r="J39" i="2"/>
  <c r="H40" i="2"/>
  <c r="Z40" i="2"/>
  <c r="T41" i="2"/>
  <c r="Q42" i="2"/>
  <c r="Q159" i="4" s="1"/>
  <c r="X215" i="5" s="1"/>
  <c r="K43" i="2"/>
  <c r="Z43" i="2"/>
  <c r="T44" i="2"/>
  <c r="K45" i="2"/>
  <c r="Z45" i="2"/>
  <c r="Z303" i="4" s="1"/>
  <c r="AL303" i="5" s="1"/>
  <c r="Q46" i="2"/>
  <c r="I47" i="2"/>
  <c r="W47" i="2"/>
  <c r="Q49" i="2"/>
  <c r="Q308" i="4" s="1"/>
  <c r="X307" i="5" s="1"/>
  <c r="E50" i="2"/>
  <c r="S50" i="2"/>
  <c r="G51" i="2"/>
  <c r="U51" i="2"/>
  <c r="U371" i="4" s="1"/>
  <c r="AD355" i="5" s="1"/>
  <c r="P3" i="2"/>
  <c r="E6" i="2"/>
  <c r="E28" i="4" s="1"/>
  <c r="V8" i="2"/>
  <c r="W10" i="2"/>
  <c r="W12" i="2"/>
  <c r="V14" i="2"/>
  <c r="W16" i="2"/>
  <c r="W18" i="2"/>
  <c r="V20" i="2"/>
  <c r="W22" i="2"/>
  <c r="W297" i="4" s="1"/>
  <c r="AG272" i="5" s="1"/>
  <c r="W24" i="2"/>
  <c r="W101" i="4" s="1"/>
  <c r="AG35" i="5" s="1"/>
  <c r="V26" i="2"/>
  <c r="W28" i="2"/>
  <c r="W6" i="4" s="1"/>
  <c r="AG175" i="5" s="1"/>
  <c r="V30" i="2"/>
  <c r="K32" i="2"/>
  <c r="K227" i="4" s="1"/>
  <c r="X33" i="2"/>
  <c r="X153" i="4" s="1"/>
  <c r="AI206" i="5" s="1"/>
  <c r="AN221" i="8" s="1"/>
  <c r="Z34" i="2"/>
  <c r="I36" i="2"/>
  <c r="K37" i="2"/>
  <c r="M38" i="2"/>
  <c r="M39" i="2"/>
  <c r="J40" i="2"/>
  <c r="C41" i="2"/>
  <c r="C83" i="4" s="1"/>
  <c r="C159" i="5" s="1"/>
  <c r="X41" i="2"/>
  <c r="X84" i="4" s="1"/>
  <c r="AI160" i="5" s="1"/>
  <c r="AN183" i="8" s="1"/>
  <c r="AZ183" i="8" s="1"/>
  <c r="P183" i="8" s="1"/>
  <c r="S42" i="2"/>
  <c r="L43" i="2"/>
  <c r="C44" i="2"/>
  <c r="U44" i="2"/>
  <c r="L45" i="2"/>
  <c r="L303" i="4" s="1"/>
  <c r="Q303" i="5" s="1"/>
  <c r="AH305" i="8" s="1"/>
  <c r="AT305" i="8" s="1"/>
  <c r="J305" i="8" s="1"/>
  <c r="C46" i="2"/>
  <c r="C317" i="4" s="1"/>
  <c r="C305" i="5" s="1"/>
  <c r="R307" i="8" s="1"/>
  <c r="S46" i="2"/>
  <c r="S317" i="4" s="1"/>
  <c r="AA305" i="5" s="1"/>
  <c r="J47" i="2"/>
  <c r="X47" i="2"/>
  <c r="F50" i="2"/>
  <c r="T50" i="2"/>
  <c r="T369" i="4" s="1"/>
  <c r="AC353" i="5" s="1"/>
  <c r="AL352" i="8" s="1"/>
  <c r="H51" i="2"/>
  <c r="H357" i="4" s="1"/>
  <c r="K361" i="5" s="1"/>
  <c r="AF360" i="8" s="1"/>
  <c r="AR360" i="8" s="1"/>
  <c r="H360" i="8" s="1"/>
  <c r="V51" i="2"/>
  <c r="V354" i="4" s="1"/>
  <c r="AF370" i="5" s="1"/>
  <c r="AM34" i="8" s="1"/>
  <c r="H57" i="2"/>
  <c r="H281" i="4" s="1"/>
  <c r="K292" i="5" s="1"/>
  <c r="U57" i="2"/>
  <c r="H58" i="2"/>
  <c r="O81" i="2"/>
  <c r="O77" i="4" s="1"/>
  <c r="U119" i="5" s="1"/>
  <c r="U80" i="2"/>
  <c r="U318" i="4" s="1"/>
  <c r="AD306" i="5" s="1"/>
  <c r="I80" i="2"/>
  <c r="I333" i="4" s="1"/>
  <c r="L350" i="5" s="1"/>
  <c r="U76" i="2"/>
  <c r="I76" i="2"/>
  <c r="V75" i="2"/>
  <c r="J75" i="2"/>
  <c r="W74" i="2"/>
  <c r="W386" i="4" s="1"/>
  <c r="AG385" i="5" s="1"/>
  <c r="J74" i="2"/>
  <c r="J386" i="4" s="1"/>
  <c r="N385" i="5" s="1"/>
  <c r="V73" i="2"/>
  <c r="I73" i="2"/>
  <c r="V72" i="2"/>
  <c r="I72" i="2"/>
  <c r="U71" i="2"/>
  <c r="H71" i="2"/>
  <c r="H72" i="4" s="1"/>
  <c r="K191" i="5" s="1"/>
  <c r="T70" i="2"/>
  <c r="G70" i="2"/>
  <c r="S69" i="2"/>
  <c r="S23" i="4" s="1"/>
  <c r="AA13" i="5" s="1"/>
  <c r="Y68" i="2"/>
  <c r="Y21" i="4" s="1"/>
  <c r="AJ91" i="5" s="1"/>
  <c r="K68" i="2"/>
  <c r="W67" i="2"/>
  <c r="I67" i="2"/>
  <c r="T66" i="2"/>
  <c r="F66" i="2"/>
  <c r="O65" i="2"/>
  <c r="O195" i="4" s="1"/>
  <c r="U228" i="5" s="1"/>
  <c r="Y64" i="2"/>
  <c r="Y271" i="4" s="1"/>
  <c r="AJ225" i="5" s="1"/>
  <c r="J64" i="2"/>
  <c r="J271" i="4" s="1"/>
  <c r="R63" i="2"/>
  <c r="D63" i="2"/>
  <c r="P63" i="2"/>
  <c r="G63" i="2"/>
  <c r="S63" i="2"/>
  <c r="S190" i="4" s="1"/>
  <c r="AA281" i="5" s="1"/>
  <c r="H63" i="2"/>
  <c r="T63" i="2"/>
  <c r="K62" i="2"/>
  <c r="Q61" i="2"/>
  <c r="Z60" i="2"/>
  <c r="Z304" i="4" s="1"/>
  <c r="AL304" i="5" s="1"/>
  <c r="I60" i="2"/>
  <c r="R59" i="2"/>
  <c r="R86" i="4" s="1"/>
  <c r="W58" i="2"/>
  <c r="F58" i="2"/>
  <c r="M57" i="2"/>
  <c r="M258" i="4" s="1"/>
  <c r="R296" i="5" s="1"/>
  <c r="U56" i="2"/>
  <c r="D56" i="2"/>
  <c r="P56" i="2"/>
  <c r="P276" i="4" s="1"/>
  <c r="W302" i="5" s="1"/>
  <c r="J56" i="2"/>
  <c r="J14" i="4" s="1"/>
  <c r="N180" i="5" s="1"/>
  <c r="W56" i="2"/>
  <c r="W18" i="4" s="1"/>
  <c r="AG185" i="5" s="1"/>
  <c r="M56" i="2"/>
  <c r="M276" i="4" s="1"/>
  <c r="R302" i="5" s="1"/>
  <c r="Z56" i="2"/>
  <c r="Z276" i="4" s="1"/>
  <c r="AL302" i="5" s="1"/>
  <c r="BA302" i="5" s="1"/>
  <c r="N56" i="2"/>
  <c r="N276" i="4" s="1"/>
  <c r="T302" i="5" s="1"/>
  <c r="G56" i="2"/>
  <c r="T56" i="2"/>
  <c r="G55" i="2"/>
  <c r="J54" i="2"/>
  <c r="J232" i="4" s="1"/>
  <c r="N53" i="2"/>
  <c r="N384" i="4" s="1"/>
  <c r="T386" i="5" s="1"/>
  <c r="N52" i="2"/>
  <c r="N385" i="4" s="1"/>
  <c r="T384" i="5" s="1"/>
  <c r="AI381" i="8" s="1"/>
  <c r="L51" i="2"/>
  <c r="L357" i="4" s="1"/>
  <c r="Q361" i="5" s="1"/>
  <c r="AH360" i="8" s="1"/>
  <c r="K50" i="2"/>
  <c r="K365" i="4" s="1"/>
  <c r="O365" i="5" s="1"/>
  <c r="I49" i="2"/>
  <c r="I308" i="4" s="1"/>
  <c r="L307" i="5" s="1"/>
  <c r="I48" i="2"/>
  <c r="E47" i="2"/>
  <c r="Q45" i="2"/>
  <c r="Q303" i="4" s="1"/>
  <c r="X303" i="5" s="1"/>
  <c r="H44" i="2"/>
  <c r="N42" i="2"/>
  <c r="N159" i="4" s="1"/>
  <c r="T215" i="5" s="1"/>
  <c r="AI23" i="8" s="1"/>
  <c r="N40" i="2"/>
  <c r="N265" i="4" s="1"/>
  <c r="T6" i="5" s="1"/>
  <c r="AI42" i="8" s="1"/>
  <c r="N38" i="2"/>
  <c r="P35" i="2"/>
  <c r="P128" i="4" s="1"/>
  <c r="W179" i="5" s="1"/>
  <c r="AJ201" i="8" s="1"/>
  <c r="R32" i="2"/>
  <c r="I28" i="2"/>
  <c r="E23" i="2"/>
  <c r="E87" i="4" s="1"/>
  <c r="E17" i="2"/>
  <c r="E171" i="4" s="1"/>
  <c r="I9" i="2"/>
  <c r="W81" i="2"/>
  <c r="W285" i="4" s="1"/>
  <c r="AG107" i="5" s="1"/>
  <c r="N81" i="2"/>
  <c r="N285" i="4" s="1"/>
  <c r="T107" i="5" s="1"/>
  <c r="T80" i="2"/>
  <c r="T318" i="4" s="1"/>
  <c r="AC306" i="5" s="1"/>
  <c r="AL308" i="8" s="1"/>
  <c r="H80" i="2"/>
  <c r="T76" i="2"/>
  <c r="H76" i="2"/>
  <c r="H180" i="4" s="1"/>
  <c r="K87" i="5" s="1"/>
  <c r="U75" i="2"/>
  <c r="I75" i="2"/>
  <c r="V74" i="2"/>
  <c r="V386" i="4" s="1"/>
  <c r="AF385" i="5" s="1"/>
  <c r="I74" i="2"/>
  <c r="I386" i="4" s="1"/>
  <c r="L385" i="5" s="1"/>
  <c r="U73" i="2"/>
  <c r="H73" i="2"/>
  <c r="H219" i="4" s="1"/>
  <c r="K265" i="5" s="1"/>
  <c r="AF27" i="8" s="1"/>
  <c r="AR27" i="8" s="1"/>
  <c r="H27" i="8" s="1"/>
  <c r="U72" i="2"/>
  <c r="H72" i="2"/>
  <c r="H225" i="4" s="1"/>
  <c r="K196" i="5" s="1"/>
  <c r="T71" i="2"/>
  <c r="G71" i="2"/>
  <c r="S70" i="2"/>
  <c r="F70" i="2"/>
  <c r="F99" i="4" s="1"/>
  <c r="H166" i="5" s="1"/>
  <c r="Q69" i="2"/>
  <c r="X68" i="2"/>
  <c r="X21" i="4" s="1"/>
  <c r="AI91" i="5" s="1"/>
  <c r="AN120" i="8" s="1"/>
  <c r="J68" i="2"/>
  <c r="V67" i="2"/>
  <c r="V378" i="4" s="1"/>
  <c r="AF378" i="5" s="1"/>
  <c r="AM374" i="8" s="1"/>
  <c r="H67" i="2"/>
  <c r="H382" i="4" s="1"/>
  <c r="K382" i="5" s="1"/>
  <c r="AF378" i="8" s="1"/>
  <c r="AR378" i="8" s="1"/>
  <c r="H378" i="8" s="1"/>
  <c r="S66" i="2"/>
  <c r="S119" i="4" s="1"/>
  <c r="AA241" i="5" s="1"/>
  <c r="C66" i="2"/>
  <c r="M65" i="2"/>
  <c r="M195" i="4" s="1"/>
  <c r="R228" i="5" s="1"/>
  <c r="X64" i="2"/>
  <c r="X271" i="4" s="1"/>
  <c r="AI225" i="5" s="1"/>
  <c r="AN238" i="8" s="1"/>
  <c r="AZ238" i="8" s="1"/>
  <c r="P238" i="8" s="1"/>
  <c r="I64" i="2"/>
  <c r="Q63" i="2"/>
  <c r="Z62" i="2"/>
  <c r="I62" i="2"/>
  <c r="P61" i="2"/>
  <c r="Y60" i="2"/>
  <c r="H60" i="2"/>
  <c r="O59" i="2"/>
  <c r="O86" i="4" s="1"/>
  <c r="U299" i="5" s="1"/>
  <c r="V58" i="2"/>
  <c r="E58" i="2"/>
  <c r="L57" i="2"/>
  <c r="S56" i="2"/>
  <c r="X55" i="2"/>
  <c r="X134" i="4" s="1"/>
  <c r="AI20" i="5" s="1"/>
  <c r="D55" i="2"/>
  <c r="D134" i="4" s="1"/>
  <c r="E20" i="5" s="1"/>
  <c r="AP20" i="5" s="1"/>
  <c r="I54" i="2"/>
  <c r="I232" i="4" s="1"/>
  <c r="K53" i="2"/>
  <c r="K384" i="4" s="1"/>
  <c r="O386" i="5" s="1"/>
  <c r="L52" i="2"/>
  <c r="L385" i="4" s="1"/>
  <c r="Q384" i="5" s="1"/>
  <c r="AH381" i="8" s="1"/>
  <c r="J51" i="2"/>
  <c r="J361" i="4" s="1"/>
  <c r="N371" i="5" s="1"/>
  <c r="AG368" i="8" s="1"/>
  <c r="J50" i="2"/>
  <c r="H49" i="2"/>
  <c r="F48" i="2"/>
  <c r="Z46" i="2"/>
  <c r="Z317" i="4" s="1"/>
  <c r="AL305" i="5" s="1"/>
  <c r="P45" i="2"/>
  <c r="G44" i="2"/>
  <c r="G42" i="2"/>
  <c r="L40" i="2"/>
  <c r="L132" i="4" s="1"/>
  <c r="Q294" i="5" s="1"/>
  <c r="AH301" i="8" s="1"/>
  <c r="AT301" i="8" s="1"/>
  <c r="J301" i="8" s="1"/>
  <c r="I38" i="2"/>
  <c r="O35" i="2"/>
  <c r="O128" i="4" s="1"/>
  <c r="U179" i="5" s="1"/>
  <c r="P32" i="2"/>
  <c r="P65" i="4" s="1"/>
  <c r="W148" i="5" s="1"/>
  <c r="AJ12" i="8" s="1"/>
  <c r="AV12" i="8" s="1"/>
  <c r="L12" i="8" s="1"/>
  <c r="Q27" i="2"/>
  <c r="D23" i="2"/>
  <c r="D87" i="4" s="1"/>
  <c r="E298" i="5" s="1"/>
  <c r="D17" i="2"/>
  <c r="D171" i="4" s="1"/>
  <c r="E69" i="5" s="1"/>
  <c r="E9" i="2"/>
  <c r="Z81" i="2"/>
  <c r="K81" i="2"/>
  <c r="S80" i="2"/>
  <c r="S318" i="4" s="1"/>
  <c r="AA306" i="5" s="1"/>
  <c r="G80" i="2"/>
  <c r="S76" i="2"/>
  <c r="S180" i="4" s="1"/>
  <c r="AA87" i="5" s="1"/>
  <c r="G76" i="2"/>
  <c r="T75" i="2"/>
  <c r="H75" i="2"/>
  <c r="H164" i="4" s="1"/>
  <c r="K240" i="5" s="1"/>
  <c r="U74" i="2"/>
  <c r="U386" i="4" s="1"/>
  <c r="AD385" i="5" s="1"/>
  <c r="H74" i="2"/>
  <c r="H386" i="4" s="1"/>
  <c r="K385" i="5" s="1"/>
  <c r="T73" i="2"/>
  <c r="G73" i="2"/>
  <c r="T72" i="2"/>
  <c r="G72" i="2"/>
  <c r="S71" i="2"/>
  <c r="S204" i="4" s="1"/>
  <c r="AA251" i="5" s="1"/>
  <c r="F71" i="2"/>
  <c r="R70" i="2"/>
  <c r="P69" i="2"/>
  <c r="W68" i="2"/>
  <c r="W21" i="4" s="1"/>
  <c r="AG91" i="5" s="1"/>
  <c r="I68" i="2"/>
  <c r="U67" i="2"/>
  <c r="U383" i="4" s="1"/>
  <c r="AD383" i="5" s="1"/>
  <c r="G67" i="2"/>
  <c r="R66" i="2"/>
  <c r="R119" i="4" s="1"/>
  <c r="D66" i="2"/>
  <c r="D119" i="4" s="1"/>
  <c r="E241" i="5" s="1"/>
  <c r="AD252" i="8" s="1"/>
  <c r="P66" i="2"/>
  <c r="E66" i="2"/>
  <c r="Q66" i="2"/>
  <c r="Q119" i="4" s="1"/>
  <c r="L65" i="2"/>
  <c r="L195" i="4" s="1"/>
  <c r="Q228" i="5" s="1"/>
  <c r="AH24" i="8" s="1"/>
  <c r="AT24" i="8" s="1"/>
  <c r="J24" i="8" s="1"/>
  <c r="W64" i="2"/>
  <c r="H64" i="2"/>
  <c r="H271" i="4" s="1"/>
  <c r="K225" i="5" s="1"/>
  <c r="O63" i="2"/>
  <c r="Y62" i="2"/>
  <c r="H62" i="2"/>
  <c r="N61" i="2"/>
  <c r="N74" i="4" s="1"/>
  <c r="T208" i="5" s="1"/>
  <c r="AI223" i="8" s="1"/>
  <c r="W60" i="2"/>
  <c r="G60" i="2"/>
  <c r="N59" i="2"/>
  <c r="N86" i="4" s="1"/>
  <c r="T299" i="5" s="1"/>
  <c r="U58" i="2"/>
  <c r="D58" i="2"/>
  <c r="J57" i="2"/>
  <c r="R56" i="2"/>
  <c r="R276" i="4" s="1"/>
  <c r="W55" i="2"/>
  <c r="G54" i="2"/>
  <c r="J53" i="2"/>
  <c r="J384" i="4" s="1"/>
  <c r="N386" i="5" s="1"/>
  <c r="J52" i="2"/>
  <c r="J385" i="4" s="1"/>
  <c r="N384" i="5" s="1"/>
  <c r="AG381" i="8" s="1"/>
  <c r="I51" i="2"/>
  <c r="H50" i="2"/>
  <c r="F49" i="2"/>
  <c r="F308" i="4" s="1"/>
  <c r="Y46" i="2"/>
  <c r="N45" i="2"/>
  <c r="X43" i="2"/>
  <c r="X242" i="4" s="1"/>
  <c r="AI146" i="5" s="1"/>
  <c r="AN171" i="8" s="1"/>
  <c r="AZ171" i="8" s="1"/>
  <c r="P171" i="8" s="1"/>
  <c r="E42" i="2"/>
  <c r="E95" i="4" s="1"/>
  <c r="F273" i="5" s="1"/>
  <c r="K40" i="2"/>
  <c r="V37" i="2"/>
  <c r="K35" i="2"/>
  <c r="K149" i="4" s="1"/>
  <c r="W31" i="2"/>
  <c r="W150" i="4" s="1"/>
  <c r="AG202" i="5" s="1"/>
  <c r="K27" i="2"/>
  <c r="Q21" i="2"/>
  <c r="Q40" i="4" s="1"/>
  <c r="X90" i="5" s="1"/>
  <c r="K15" i="2"/>
  <c r="K275" i="4" s="1"/>
  <c r="O300" i="5" s="1"/>
  <c r="E7" i="2"/>
  <c r="H9" i="3"/>
  <c r="Y81" i="2"/>
  <c r="J81" i="2"/>
  <c r="R80" i="2"/>
  <c r="F80" i="2"/>
  <c r="R76" i="2"/>
  <c r="F76" i="2"/>
  <c r="F224" i="4" s="1"/>
  <c r="S75" i="2"/>
  <c r="G75" i="2"/>
  <c r="T74" i="2"/>
  <c r="T386" i="4" s="1"/>
  <c r="AC385" i="5" s="1"/>
  <c r="G74" i="2"/>
  <c r="S73" i="2"/>
  <c r="S176" i="4" s="1"/>
  <c r="AA267" i="5" s="1"/>
  <c r="F73" i="2"/>
  <c r="S72" i="2"/>
  <c r="F72" i="2"/>
  <c r="R71" i="2"/>
  <c r="E71" i="2"/>
  <c r="P70" i="2"/>
  <c r="C70" i="2"/>
  <c r="C99" i="4" s="1"/>
  <c r="C166" i="5" s="1"/>
  <c r="O69" i="2"/>
  <c r="V68" i="2"/>
  <c r="V21" i="4" s="1"/>
  <c r="AF91" i="5" s="1"/>
  <c r="AM120" i="8" s="1"/>
  <c r="AY120" i="8" s="1"/>
  <c r="H68" i="2"/>
  <c r="T67" i="2"/>
  <c r="T383" i="4" s="1"/>
  <c r="AC383" i="5" s="1"/>
  <c r="AL379" i="8" s="1"/>
  <c r="F67" i="2"/>
  <c r="O66" i="2"/>
  <c r="O119" i="4" s="1"/>
  <c r="U241" i="5" s="1"/>
  <c r="Z65" i="2"/>
  <c r="K65" i="2"/>
  <c r="V64" i="2"/>
  <c r="E64" i="2"/>
  <c r="E271" i="4" s="1"/>
  <c r="F225" i="5" s="1"/>
  <c r="N63" i="2"/>
  <c r="X62" i="2"/>
  <c r="E62" i="2"/>
  <c r="M61" i="2"/>
  <c r="M70" i="4" s="1"/>
  <c r="R172" i="5" s="1"/>
  <c r="V60" i="2"/>
  <c r="F60" i="2"/>
  <c r="K59" i="2"/>
  <c r="T58" i="2"/>
  <c r="I57" i="2"/>
  <c r="Q56" i="2"/>
  <c r="Q174" i="4" s="1"/>
  <c r="X79" i="5" s="1"/>
  <c r="U55" i="2"/>
  <c r="E55" i="2"/>
  <c r="E134" i="4" s="1"/>
  <c r="Q55" i="2"/>
  <c r="Q134" i="4" s="1"/>
  <c r="X20" i="5" s="1"/>
  <c r="AV20" i="5" s="1"/>
  <c r="I55" i="2"/>
  <c r="I134" i="4" s="1"/>
  <c r="V55" i="2"/>
  <c r="L55" i="2"/>
  <c r="L134" i="4" s="1"/>
  <c r="Q20" i="5" s="1"/>
  <c r="Y55" i="2"/>
  <c r="Y134" i="4" s="1"/>
  <c r="AJ20" i="5" s="1"/>
  <c r="M55" i="2"/>
  <c r="M134" i="4" s="1"/>
  <c r="R20" i="5" s="1"/>
  <c r="Z55" i="2"/>
  <c r="Z134" i="4" s="1"/>
  <c r="AL20" i="5" s="1"/>
  <c r="BA20" i="5" s="1"/>
  <c r="F55" i="2"/>
  <c r="F134" i="4" s="1"/>
  <c r="S55" i="2"/>
  <c r="S134" i="4" s="1"/>
  <c r="AA20" i="5" s="1"/>
  <c r="E54" i="2"/>
  <c r="E232" i="4" s="1"/>
  <c r="G53" i="2"/>
  <c r="H52" i="2"/>
  <c r="H385" i="4" s="1"/>
  <c r="K384" i="5" s="1"/>
  <c r="E51" i="2"/>
  <c r="G50" i="2"/>
  <c r="E49" i="2"/>
  <c r="E308" i="4" s="1"/>
  <c r="E48" i="2"/>
  <c r="Q48" i="2"/>
  <c r="M48" i="2"/>
  <c r="Z48" i="2"/>
  <c r="Z311" i="4" s="1"/>
  <c r="AL310" i="5" s="1"/>
  <c r="C48" i="2"/>
  <c r="C311" i="4" s="1"/>
  <c r="C310" i="5" s="1"/>
  <c r="R312" i="8" s="1"/>
  <c r="R48" i="2"/>
  <c r="G48" i="2"/>
  <c r="U48" i="2"/>
  <c r="U311" i="4" s="1"/>
  <c r="AD310" i="5" s="1"/>
  <c r="H48" i="2"/>
  <c r="V48" i="2"/>
  <c r="V330" i="4" s="1"/>
  <c r="AF347" i="5" s="1"/>
  <c r="K48" i="2"/>
  <c r="Y48" i="2"/>
  <c r="Y330" i="4" s="1"/>
  <c r="AJ347" i="5" s="1"/>
  <c r="L48" i="2"/>
  <c r="N48" i="2"/>
  <c r="U46" i="2"/>
  <c r="U317" i="4" s="1"/>
  <c r="AD305" i="5" s="1"/>
  <c r="M45" i="2"/>
  <c r="T43" i="2"/>
  <c r="C42" i="2"/>
  <c r="D40" i="2"/>
  <c r="D132" i="4" s="1"/>
  <c r="E294" i="5" s="1"/>
  <c r="U37" i="2"/>
  <c r="F35" i="2"/>
  <c r="F188" i="4" s="1"/>
  <c r="H152" i="5" s="1"/>
  <c r="N31" i="2"/>
  <c r="N150" i="4" s="1"/>
  <c r="T202" i="5" s="1"/>
  <c r="AI220" i="8" s="1"/>
  <c r="I27" i="2"/>
  <c r="K21" i="2"/>
  <c r="K40" i="4" s="1"/>
  <c r="I15" i="2"/>
  <c r="C7" i="2"/>
  <c r="C78" i="4" s="1"/>
  <c r="C121" i="5" s="1"/>
  <c r="C318" i="4"/>
  <c r="C306" i="5" s="1"/>
  <c r="R308" i="8" s="1"/>
  <c r="X81" i="2"/>
  <c r="X278" i="4" s="1"/>
  <c r="AI139" i="5" s="1"/>
  <c r="AN164" i="8" s="1"/>
  <c r="AZ164" i="8" s="1"/>
  <c r="P164" i="8" s="1"/>
  <c r="I81" i="2"/>
  <c r="Q80" i="2"/>
  <c r="E80" i="2"/>
  <c r="Q76" i="2"/>
  <c r="Q180" i="4" s="1"/>
  <c r="X87" i="5" s="1"/>
  <c r="E76" i="2"/>
  <c r="R75" i="2"/>
  <c r="F75" i="2"/>
  <c r="F164" i="4" s="1"/>
  <c r="H240" i="5" s="1"/>
  <c r="AQ240" i="5" s="1"/>
  <c r="S74" i="2"/>
  <c r="S386" i="4" s="1"/>
  <c r="AA385" i="5" s="1"/>
  <c r="AW385" i="5" s="1"/>
  <c r="F74" i="2"/>
  <c r="F386" i="4" s="1"/>
  <c r="R73" i="2"/>
  <c r="E73" i="2"/>
  <c r="R72" i="2"/>
  <c r="E72" i="2"/>
  <c r="Q71" i="2"/>
  <c r="Q72" i="4" s="1"/>
  <c r="X191" i="5" s="1"/>
  <c r="C71" i="2"/>
  <c r="C72" i="4" s="1"/>
  <c r="C191" i="5" s="1"/>
  <c r="R210" i="8" s="1"/>
  <c r="O70" i="2"/>
  <c r="O99" i="4" s="1"/>
  <c r="U166" i="5" s="1"/>
  <c r="E70" i="2"/>
  <c r="E99" i="4" s="1"/>
  <c r="F166" i="5" s="1"/>
  <c r="Q70" i="2"/>
  <c r="N69" i="2"/>
  <c r="U68" i="2"/>
  <c r="G68" i="2"/>
  <c r="S67" i="2"/>
  <c r="E67" i="2"/>
  <c r="N66" i="2"/>
  <c r="Y65" i="2"/>
  <c r="J65" i="2"/>
  <c r="U64" i="2"/>
  <c r="D64" i="2"/>
  <c r="D271" i="4" s="1"/>
  <c r="E225" i="5" s="1"/>
  <c r="AD238" i="8" s="1"/>
  <c r="M63" i="2"/>
  <c r="W62" i="2"/>
  <c r="D62" i="2"/>
  <c r="L61" i="2"/>
  <c r="L70" i="4" s="1"/>
  <c r="Q172" i="5" s="1"/>
  <c r="AH14" i="8" s="1"/>
  <c r="AT14" i="8" s="1"/>
  <c r="J14" i="8" s="1"/>
  <c r="U60" i="2"/>
  <c r="U304" i="4" s="1"/>
  <c r="AD304" i="5" s="1"/>
  <c r="C60" i="2"/>
  <c r="C304" i="4" s="1"/>
  <c r="C304" i="5" s="1"/>
  <c r="R306" i="8" s="1"/>
  <c r="J59" i="2"/>
  <c r="J86" i="4" s="1"/>
  <c r="N299" i="5" s="1"/>
  <c r="S58" i="2"/>
  <c r="Z57" i="2"/>
  <c r="Z96" i="4" s="1"/>
  <c r="AL122" i="5" s="1"/>
  <c r="G57" i="2"/>
  <c r="O56" i="2"/>
  <c r="O18" i="4" s="1"/>
  <c r="U185" i="5" s="1"/>
  <c r="T55" i="2"/>
  <c r="Z54" i="2"/>
  <c r="Z232" i="4" s="1"/>
  <c r="AL19" i="5" s="1"/>
  <c r="BA19" i="5" s="1"/>
  <c r="C54" i="2"/>
  <c r="C232" i="4" s="1"/>
  <c r="C19" i="5" s="1"/>
  <c r="F53" i="2"/>
  <c r="F384" i="4" s="1"/>
  <c r="G52" i="2"/>
  <c r="D51" i="2"/>
  <c r="D357" i="4" s="1"/>
  <c r="E361" i="5" s="1"/>
  <c r="C49" i="2"/>
  <c r="C308" i="4" s="1"/>
  <c r="C307" i="5" s="1"/>
  <c r="R309" i="8" s="1"/>
  <c r="Z47" i="2"/>
  <c r="T46" i="2"/>
  <c r="T317" i="4" s="1"/>
  <c r="AC305" i="5" s="1"/>
  <c r="AL307" i="8" s="1"/>
  <c r="I45" i="2"/>
  <c r="S43" i="2"/>
  <c r="Z41" i="2"/>
  <c r="Z223" i="4" s="1"/>
  <c r="AL15" i="5" s="1"/>
  <c r="V39" i="2"/>
  <c r="R37" i="2"/>
  <c r="R154" i="4" s="1"/>
  <c r="V34" i="2"/>
  <c r="E31" i="2"/>
  <c r="E27" i="2"/>
  <c r="I21" i="2"/>
  <c r="I40" i="4" s="1"/>
  <c r="L90" i="5" s="1"/>
  <c r="E15" i="2"/>
  <c r="E68" i="4" s="1"/>
  <c r="F165" i="5" s="1"/>
  <c r="L6" i="2"/>
  <c r="L28" i="4" s="1"/>
  <c r="Q97" i="5" s="1"/>
  <c r="AH126" i="8" s="1"/>
  <c r="AT126" i="8" s="1"/>
  <c r="J126" i="8" s="1"/>
  <c r="G29" i="3"/>
  <c r="V81" i="2"/>
  <c r="G81" i="2"/>
  <c r="P80" i="2"/>
  <c r="P337" i="4" s="1"/>
  <c r="W321" i="5" s="1"/>
  <c r="AJ323" i="8" s="1"/>
  <c r="P76" i="2"/>
  <c r="Q75" i="2"/>
  <c r="R74" i="2"/>
  <c r="R386" i="4" s="1"/>
  <c r="E74" i="2"/>
  <c r="E386" i="4" s="1"/>
  <c r="Q73" i="2"/>
  <c r="Q236" i="4" s="1"/>
  <c r="X95" i="5" s="1"/>
  <c r="D73" i="2"/>
  <c r="Q72" i="2"/>
  <c r="D72" i="2"/>
  <c r="O71" i="2"/>
  <c r="O72" i="4" s="1"/>
  <c r="U191" i="5" s="1"/>
  <c r="D71" i="2"/>
  <c r="D72" i="4" s="1"/>
  <c r="E191" i="5" s="1"/>
  <c r="P71" i="2"/>
  <c r="P72" i="4" s="1"/>
  <c r="W191" i="5" s="1"/>
  <c r="AJ210" i="8" s="1"/>
  <c r="N70" i="2"/>
  <c r="Z69" i="2"/>
  <c r="K69" i="2"/>
  <c r="T68" i="2"/>
  <c r="F68" i="2"/>
  <c r="F21" i="4" s="1"/>
  <c r="R67" i="2"/>
  <c r="C67" i="2"/>
  <c r="C379" i="4" s="1"/>
  <c r="C379" i="5" s="1"/>
  <c r="R375" i="8" s="1"/>
  <c r="O67" i="2"/>
  <c r="D67" i="2"/>
  <c r="P67" i="2"/>
  <c r="M66" i="2"/>
  <c r="M216" i="4" s="1"/>
  <c r="R223" i="5" s="1"/>
  <c r="X65" i="2"/>
  <c r="X85" i="4" s="1"/>
  <c r="AI224" i="5" s="1"/>
  <c r="AN237" i="8" s="1"/>
  <c r="AZ237" i="8" s="1"/>
  <c r="P237" i="8" s="1"/>
  <c r="I65" i="2"/>
  <c r="I195" i="4" s="1"/>
  <c r="L228" i="5" s="1"/>
  <c r="T64" i="2"/>
  <c r="C64" i="2"/>
  <c r="C271" i="4" s="1"/>
  <c r="C225" i="5" s="1"/>
  <c r="O64" i="2"/>
  <c r="O271" i="4" s="1"/>
  <c r="U225" i="5" s="1"/>
  <c r="F64" i="2"/>
  <c r="F271" i="4" s="1"/>
  <c r="H225" i="5" s="1"/>
  <c r="R64" i="2"/>
  <c r="R271" i="4" s="1"/>
  <c r="G64" i="2"/>
  <c r="S64" i="2"/>
  <c r="S271" i="4" s="1"/>
  <c r="AA225" i="5" s="1"/>
  <c r="L63" i="2"/>
  <c r="U62" i="2"/>
  <c r="J62" i="2"/>
  <c r="J344" i="4" s="1"/>
  <c r="N338" i="5" s="1"/>
  <c r="V62" i="2"/>
  <c r="V350" i="4" s="1"/>
  <c r="AF339" i="5" s="1"/>
  <c r="C62" i="2"/>
  <c r="P62" i="2"/>
  <c r="P345" i="4" s="1"/>
  <c r="W337" i="5" s="1"/>
  <c r="AJ337" i="8" s="1"/>
  <c r="F62" i="2"/>
  <c r="S62" i="2"/>
  <c r="S305" i="4" s="1"/>
  <c r="AA314" i="5" s="1"/>
  <c r="G62" i="2"/>
  <c r="T62" i="2"/>
  <c r="J61" i="2"/>
  <c r="T60" i="2"/>
  <c r="T304" i="4" s="1"/>
  <c r="AC304" i="5" s="1"/>
  <c r="AL306" i="8" s="1"/>
  <c r="L60" i="2"/>
  <c r="X60" i="2"/>
  <c r="N60" i="2"/>
  <c r="D60" i="2"/>
  <c r="D340" i="4" s="1"/>
  <c r="E331" i="5" s="1"/>
  <c r="Q60" i="2"/>
  <c r="Q332" i="4" s="1"/>
  <c r="X349" i="5" s="1"/>
  <c r="E60" i="2"/>
  <c r="R60" i="2"/>
  <c r="I59" i="2"/>
  <c r="I86" i="4" s="1"/>
  <c r="L299" i="5" s="1"/>
  <c r="R58" i="2"/>
  <c r="Y57" i="2"/>
  <c r="Y96" i="4" s="1"/>
  <c r="AJ122" i="5" s="1"/>
  <c r="F57" i="2"/>
  <c r="L56" i="2"/>
  <c r="L14" i="4" s="1"/>
  <c r="Q180" i="5" s="1"/>
  <c r="AH15" i="8" s="1"/>
  <c r="AT15" i="8" s="1"/>
  <c r="J15" i="8" s="1"/>
  <c r="R55" i="2"/>
  <c r="R134" i="4" s="1"/>
  <c r="Z20" i="5" s="1"/>
  <c r="W54" i="2"/>
  <c r="D54" i="2"/>
  <c r="D232" i="4" s="1"/>
  <c r="E19" i="5" s="1"/>
  <c r="C53" i="2"/>
  <c r="C384" i="4" s="1"/>
  <c r="C386" i="5" s="1"/>
  <c r="C52" i="2"/>
  <c r="C385" i="4" s="1"/>
  <c r="C384" i="5" s="1"/>
  <c r="R381" i="8" s="1"/>
  <c r="Z49" i="2"/>
  <c r="Z308" i="4" s="1"/>
  <c r="AL307" i="5" s="1"/>
  <c r="X48" i="2"/>
  <c r="U47" i="2"/>
  <c r="U313" i="4" s="1"/>
  <c r="AD312" i="5" s="1"/>
  <c r="O46" i="2"/>
  <c r="O321" i="4" s="1"/>
  <c r="U324" i="5" s="1"/>
  <c r="Z44" i="2"/>
  <c r="N43" i="2"/>
  <c r="Q41" i="2"/>
  <c r="T39" i="2"/>
  <c r="O37" i="2"/>
  <c r="O154" i="4" s="1"/>
  <c r="U207" i="5" s="1"/>
  <c r="I34" i="2"/>
  <c r="C31" i="2"/>
  <c r="C150" i="4" s="1"/>
  <c r="C202" i="5" s="1"/>
  <c r="R220" i="8" s="1"/>
  <c r="F26" i="2"/>
  <c r="F283" i="4" s="1"/>
  <c r="H102" i="5" s="1"/>
  <c r="E21" i="2"/>
  <c r="E40" i="4" s="1"/>
  <c r="J13" i="2"/>
  <c r="J104" i="4" s="1"/>
  <c r="Q4" i="2"/>
  <c r="Q218" i="4" s="1"/>
  <c r="X242" i="5" s="1"/>
  <c r="Q54" i="2"/>
  <c r="Q232" i="4" s="1"/>
  <c r="X19" i="5" s="1"/>
  <c r="R49" i="2"/>
  <c r="R308" i="4" s="1"/>
  <c r="BC286" i="1"/>
  <c r="D49" i="2"/>
  <c r="D308" i="4" s="1"/>
  <c r="E307" i="5" s="1"/>
  <c r="P49" i="2"/>
  <c r="P308" i="4" s="1"/>
  <c r="W307" i="5" s="1"/>
  <c r="AJ309" i="8" s="1"/>
  <c r="N49" i="2"/>
  <c r="N308" i="4" s="1"/>
  <c r="T307" i="5" s="1"/>
  <c r="AI309" i="8" s="1"/>
  <c r="F54" i="2"/>
  <c r="F232" i="4" s="1"/>
  <c r="R54" i="2"/>
  <c r="R232" i="4" s="1"/>
  <c r="Z19" i="5" s="1"/>
  <c r="O49" i="2"/>
  <c r="O308" i="4" s="1"/>
  <c r="U307" i="5" s="1"/>
  <c r="R65" i="2"/>
  <c r="F65" i="2"/>
  <c r="F133" i="4" s="1"/>
  <c r="H226" i="5" s="1"/>
  <c r="S61" i="2"/>
  <c r="F61" i="2"/>
  <c r="C57" i="2"/>
  <c r="C258" i="4" s="1"/>
  <c r="C296" i="5" s="1"/>
  <c r="O57" i="2"/>
  <c r="Y54" i="2"/>
  <c r="Y232" i="4" s="1"/>
  <c r="AJ19" i="5" s="1"/>
  <c r="L54" i="2"/>
  <c r="L232" i="4" s="1"/>
  <c r="Q19" i="5" s="1"/>
  <c r="Y49" i="2"/>
  <c r="Y308" i="4" s="1"/>
  <c r="AJ307" i="5" s="1"/>
  <c r="K49" i="2"/>
  <c r="Q65" i="2"/>
  <c r="Q85" i="4" s="1"/>
  <c r="X224" i="5" s="1"/>
  <c r="R61" i="2"/>
  <c r="N57" i="2"/>
  <c r="N281" i="4" s="1"/>
  <c r="T292" i="5" s="1"/>
  <c r="AI299" i="8" s="1"/>
  <c r="X54" i="2"/>
  <c r="X232" i="4" s="1"/>
  <c r="AI19" i="5" s="1"/>
  <c r="K54" i="2"/>
  <c r="K232" i="4" s="1"/>
  <c r="X49" i="2"/>
  <c r="X308" i="4" s="1"/>
  <c r="AI307" i="5" s="1"/>
  <c r="AN309" i="8" s="1"/>
  <c r="AZ309" i="8" s="1"/>
  <c r="P309" i="8" s="1"/>
  <c r="J49" i="2"/>
  <c r="J308" i="4" s="1"/>
  <c r="N307" i="5" s="1"/>
  <c r="BC236" i="1"/>
  <c r="BC271" i="1"/>
  <c r="K61" i="2"/>
  <c r="W61" i="2"/>
  <c r="W19" i="4" s="1"/>
  <c r="AG186" i="5" s="1"/>
  <c r="K57" i="2"/>
  <c r="U54" i="2"/>
  <c r="H54" i="2"/>
  <c r="H232" i="4" s="1"/>
  <c r="K19" i="5" s="1"/>
  <c r="U49" i="2"/>
  <c r="U308" i="4" s="1"/>
  <c r="AD307" i="5" s="1"/>
  <c r="G49" i="2"/>
  <c r="BC235" i="1"/>
  <c r="F45" i="2"/>
  <c r="R45" i="2"/>
  <c r="BC426" i="1"/>
  <c r="H285" i="4"/>
  <c r="K107" i="5" s="1"/>
  <c r="C50" i="2"/>
  <c r="C358" i="4" s="1"/>
  <c r="C352" i="5" s="1"/>
  <c r="R351" i="8" s="1"/>
  <c r="O50" i="2"/>
  <c r="O366" i="4" s="1"/>
  <c r="U367" i="5" s="1"/>
  <c r="U45" i="2"/>
  <c r="U303" i="4" s="1"/>
  <c r="AD303" i="5" s="1"/>
  <c r="H45" i="2"/>
  <c r="G82" i="2"/>
  <c r="BC239" i="1"/>
  <c r="AI82" i="2"/>
  <c r="H82" i="2"/>
  <c r="S82" i="2"/>
  <c r="AR347" i="8" l="1"/>
  <c r="D285" i="4"/>
  <c r="E107" i="5" s="1"/>
  <c r="AD136" i="8" s="1"/>
  <c r="AA232" i="8"/>
  <c r="H347" i="8"/>
  <c r="G347" i="8"/>
  <c r="M318" i="4"/>
  <c r="R306" i="5" s="1"/>
  <c r="N347" i="8"/>
  <c r="H32" i="8"/>
  <c r="L81" i="4"/>
  <c r="Q147" i="5" s="1"/>
  <c r="AH172" i="8" s="1"/>
  <c r="AT172" i="8" s="1"/>
  <c r="J172" i="8" s="1"/>
  <c r="G32" i="8"/>
  <c r="N32" i="8"/>
  <c r="AX92" i="8"/>
  <c r="M285" i="4"/>
  <c r="R107" i="5" s="1"/>
  <c r="AY403" i="8"/>
  <c r="J81" i="4"/>
  <c r="N147" i="5" s="1"/>
  <c r="I81" i="4"/>
  <c r="L147" i="5" s="1"/>
  <c r="AT70" i="8"/>
  <c r="AT151" i="8"/>
  <c r="AT84" i="8"/>
  <c r="AA206" i="8"/>
  <c r="AV89" i="8"/>
  <c r="E285" i="4"/>
  <c r="F107" i="5" s="1"/>
  <c r="AQ105" i="8"/>
  <c r="AQ98" i="8"/>
  <c r="AR51" i="8"/>
  <c r="AZ386" i="5"/>
  <c r="I318" i="4"/>
  <c r="L306" i="5" s="1"/>
  <c r="AQ96" i="8"/>
  <c r="AV19" i="5"/>
  <c r="AS57" i="8"/>
  <c r="AY107" i="8"/>
  <c r="AQ346" i="8"/>
  <c r="G346" i="8" s="1"/>
  <c r="AQ111" i="8"/>
  <c r="AX174" i="5"/>
  <c r="U56" i="4" a="1"/>
  <c r="U56" i="4" s="1"/>
  <c r="AD116" i="5" s="1"/>
  <c r="AA144" i="8" s="1"/>
  <c r="AZ19" i="5"/>
  <c r="AQ172" i="8"/>
  <c r="AY400" i="8"/>
  <c r="AV299" i="5"/>
  <c r="AZ89" i="8"/>
  <c r="AQ54" i="8"/>
  <c r="AQ92" i="8"/>
  <c r="AY396" i="8"/>
  <c r="AQ67" i="8"/>
  <c r="H110" i="4"/>
  <c r="K88" i="5" s="1"/>
  <c r="AC74" i="2"/>
  <c r="T210" i="4" a="1"/>
  <c r="T210" i="4" s="1"/>
  <c r="AC21" i="5" s="1"/>
  <c r="AL54" i="8" s="1"/>
  <c r="M81" i="4"/>
  <c r="R147" i="5" s="1"/>
  <c r="AS247" i="8"/>
  <c r="AU299" i="5"/>
  <c r="T106" i="4" a="1"/>
  <c r="T106" i="4" s="1"/>
  <c r="AC58" i="5" s="1"/>
  <c r="AL87" i="8" s="1"/>
  <c r="AS102" i="8"/>
  <c r="AU119" i="8"/>
  <c r="AS174" i="8"/>
  <c r="U182" i="4" a="1"/>
  <c r="U182" i="4" s="1"/>
  <c r="AD11" i="5" s="1"/>
  <c r="U296" i="4" a="1"/>
  <c r="U296" i="4" s="1"/>
  <c r="AD156" i="5" s="1"/>
  <c r="AS84" i="8"/>
  <c r="AS70" i="8"/>
  <c r="AS81" i="8"/>
  <c r="I81" i="8" s="1"/>
  <c r="AZ63" i="8"/>
  <c r="AR14" i="8"/>
  <c r="H346" i="8"/>
  <c r="D81" i="4"/>
  <c r="E147" i="5" s="1"/>
  <c r="AC82" i="2" s="1"/>
  <c r="C127" i="4"/>
  <c r="C171" i="5" s="1"/>
  <c r="R194" i="8" s="1"/>
  <c r="T144" i="4" a="1"/>
  <c r="T144" i="4" s="1"/>
  <c r="AC155" i="5" s="1"/>
  <c r="AL179" i="8" s="1"/>
  <c r="AS59" i="8"/>
  <c r="D110" i="4"/>
  <c r="E88" i="5" s="1"/>
  <c r="AD117" i="8" s="1"/>
  <c r="T205" i="4" a="1"/>
  <c r="T205" i="4" s="1"/>
  <c r="AC53" i="5" s="1"/>
  <c r="AL82" i="8" s="1"/>
  <c r="AS185" i="8"/>
  <c r="AY108" i="8"/>
  <c r="O107" i="8"/>
  <c r="AR3" i="8"/>
  <c r="AX346" i="8"/>
  <c r="N346" i="8" s="1"/>
  <c r="AW20" i="5"/>
  <c r="AU19" i="5"/>
  <c r="U181" i="4" a="1"/>
  <c r="U181" i="4" s="1"/>
  <c r="AD10" i="5" s="1"/>
  <c r="AA46" i="8" s="1"/>
  <c r="U109" i="4" a="1"/>
  <c r="U109" i="4" s="1"/>
  <c r="AD65" i="5" s="1"/>
  <c r="AQ10" i="8"/>
  <c r="T180" i="4" a="1"/>
  <c r="T180" i="4" s="1"/>
  <c r="AC87" i="5" s="1"/>
  <c r="AL116" i="8" s="1"/>
  <c r="AQ79" i="8"/>
  <c r="AS10" i="8"/>
  <c r="AA90" i="8"/>
  <c r="AX61" i="5"/>
  <c r="U240" i="4" a="1"/>
  <c r="U240" i="4" s="1"/>
  <c r="AD117" i="5" s="1"/>
  <c r="AQ76" i="8"/>
  <c r="Z288" i="8"/>
  <c r="AW281" i="5"/>
  <c r="AG54" i="2"/>
  <c r="AI54" i="2"/>
  <c r="AF54" i="2"/>
  <c r="AR19" i="5"/>
  <c r="S281" i="8"/>
  <c r="X365" i="8"/>
  <c r="Z261" i="8"/>
  <c r="AW251" i="5"/>
  <c r="Y23" i="8"/>
  <c r="AF263" i="5"/>
  <c r="AB245" i="8"/>
  <c r="AY233" i="5"/>
  <c r="AS29" i="5"/>
  <c r="AG61" i="8"/>
  <c r="AF184" i="8"/>
  <c r="AR184" i="8" s="1"/>
  <c r="H184" i="8" s="1"/>
  <c r="AR161" i="5"/>
  <c r="AG27" i="2"/>
  <c r="AF27" i="2"/>
  <c r="AI27" i="2"/>
  <c r="AS338" i="5"/>
  <c r="AG338" i="8"/>
  <c r="W236" i="8"/>
  <c r="AD210" i="8"/>
  <c r="AP210" i="8" s="1"/>
  <c r="AP191" i="5"/>
  <c r="AC71" i="2"/>
  <c r="AB280" i="8"/>
  <c r="AY272" i="5"/>
  <c r="AL59" i="2"/>
  <c r="AT299" i="5"/>
  <c r="V381" i="8"/>
  <c r="AS384" i="5"/>
  <c r="AK52" i="2"/>
  <c r="AA66" i="8"/>
  <c r="S156" i="8"/>
  <c r="AP131" i="5"/>
  <c r="AA280" i="8"/>
  <c r="AP331" i="5"/>
  <c r="AD31" i="8"/>
  <c r="AP31" i="8" s="1"/>
  <c r="F31" i="8" s="1"/>
  <c r="AD301" i="8"/>
  <c r="AP294" i="5"/>
  <c r="Z308" i="8"/>
  <c r="AW306" i="5"/>
  <c r="W29" i="8"/>
  <c r="R13" i="8"/>
  <c r="X22" i="8"/>
  <c r="AU214" i="5"/>
  <c r="R131" i="8"/>
  <c r="AC50" i="8"/>
  <c r="AC249" i="8"/>
  <c r="AC258" i="8"/>
  <c r="AZ247" i="5"/>
  <c r="U159" i="8"/>
  <c r="AR134" i="5"/>
  <c r="AF9" i="2"/>
  <c r="AG9" i="2"/>
  <c r="AI9" i="2"/>
  <c r="AR45" i="5"/>
  <c r="AF76" i="8"/>
  <c r="AR76" i="8" s="1"/>
  <c r="Z64" i="8"/>
  <c r="AB206" i="8"/>
  <c r="AY186" i="5"/>
  <c r="AO150" i="8"/>
  <c r="BA122" i="5"/>
  <c r="W159" i="8"/>
  <c r="AT134" i="5"/>
  <c r="AF26" i="2"/>
  <c r="AR102" i="5"/>
  <c r="AI26" i="2"/>
  <c r="AG26" i="2"/>
  <c r="AF131" i="8"/>
  <c r="AR131" i="8" s="1"/>
  <c r="H131" i="8" s="1"/>
  <c r="Z88" i="8"/>
  <c r="AW59" i="5"/>
  <c r="AW307" i="5"/>
  <c r="Z309" i="8"/>
  <c r="AM117" i="8"/>
  <c r="AY88" i="5"/>
  <c r="Z318" i="8"/>
  <c r="AW316" i="5"/>
  <c r="AA126" i="8"/>
  <c r="X201" i="8"/>
  <c r="AV201" i="8" s="1"/>
  <c r="AU179" i="5"/>
  <c r="AE131" i="8"/>
  <c r="AQ102" i="5"/>
  <c r="AD26" i="2"/>
  <c r="AA354" i="8"/>
  <c r="U222" i="8"/>
  <c r="AF37" i="2"/>
  <c r="AR207" i="5"/>
  <c r="AY339" i="5"/>
  <c r="AM339" i="8"/>
  <c r="AY339" i="8" s="1"/>
  <c r="Z275" i="8"/>
  <c r="AW267" i="5"/>
  <c r="AI71" i="2"/>
  <c r="AG71" i="2"/>
  <c r="AR191" i="5"/>
  <c r="AF210" i="8"/>
  <c r="AR210" i="8" s="1"/>
  <c r="H210" i="8" s="1"/>
  <c r="AF71" i="2"/>
  <c r="U350" i="8"/>
  <c r="AR350" i="5"/>
  <c r="R304" i="8"/>
  <c r="X214" i="8"/>
  <c r="AU195" i="5"/>
  <c r="AC21" i="2"/>
  <c r="AP90" i="5"/>
  <c r="AD119" i="8"/>
  <c r="AP119" i="8" s="1"/>
  <c r="AD266" i="8"/>
  <c r="AP257" i="5"/>
  <c r="AQ273" i="5"/>
  <c r="AE281" i="8"/>
  <c r="AL6" i="2"/>
  <c r="W126" i="8"/>
  <c r="AT97" i="5"/>
  <c r="AB284" i="8"/>
  <c r="AY276" i="5"/>
  <c r="BA161" i="5"/>
  <c r="AO184" i="8"/>
  <c r="AA364" i="8"/>
  <c r="AB48" i="8"/>
  <c r="AY13" i="5"/>
  <c r="X40" i="8"/>
  <c r="AU3" i="5"/>
  <c r="U381" i="8"/>
  <c r="AF52" i="2"/>
  <c r="AR384" i="5"/>
  <c r="AA239" i="8"/>
  <c r="AQ226" i="5"/>
  <c r="AE239" i="8"/>
  <c r="AD65" i="2"/>
  <c r="R170" i="8"/>
  <c r="R49" i="8"/>
  <c r="Y123" i="8"/>
  <c r="E9" i="13"/>
  <c r="AX306" i="5"/>
  <c r="AA308" i="8"/>
  <c r="S187" i="8"/>
  <c r="X170" i="8"/>
  <c r="AU145" i="5"/>
  <c r="AF229" i="8"/>
  <c r="AR229" i="8" s="1"/>
  <c r="H229" i="8" s="1"/>
  <c r="AR216" i="5"/>
  <c r="AC361" i="8"/>
  <c r="Y213" i="8"/>
  <c r="AV194" i="5"/>
  <c r="AU97" i="5"/>
  <c r="X126" i="8"/>
  <c r="Y63" i="8"/>
  <c r="AB141" i="8"/>
  <c r="AY112" i="5"/>
  <c r="BA355" i="5"/>
  <c r="AO354" i="8"/>
  <c r="AC63" i="8"/>
  <c r="AZ32" i="5"/>
  <c r="AC304" i="8"/>
  <c r="AZ298" i="5"/>
  <c r="AF258" i="8"/>
  <c r="AR258" i="8" s="1"/>
  <c r="H258" i="8" s="1"/>
  <c r="AR247" i="5"/>
  <c r="Z260" i="8"/>
  <c r="AW250" i="5"/>
  <c r="U144" i="8"/>
  <c r="AR116" i="5"/>
  <c r="X338" i="8"/>
  <c r="W225" i="8"/>
  <c r="AA279" i="8"/>
  <c r="X156" i="8"/>
  <c r="AU131" i="5"/>
  <c r="AY347" i="5"/>
  <c r="AM347" i="8"/>
  <c r="AY347" i="8" s="1"/>
  <c r="Y349" i="8"/>
  <c r="AQ166" i="5"/>
  <c r="AE189" i="8"/>
  <c r="Y270" i="8"/>
  <c r="S188" i="8"/>
  <c r="AP165" i="5"/>
  <c r="R149" i="8"/>
  <c r="AV90" i="5"/>
  <c r="Y119" i="8"/>
  <c r="Y204" i="8"/>
  <c r="AD353" i="8"/>
  <c r="AP354" i="5"/>
  <c r="W326" i="8"/>
  <c r="Y188" i="8"/>
  <c r="U177" i="8"/>
  <c r="W12" i="8"/>
  <c r="W176" i="8"/>
  <c r="AS334" i="5"/>
  <c r="AG334" i="8"/>
  <c r="Y100" i="8"/>
  <c r="AP234" i="5"/>
  <c r="AD246" i="8"/>
  <c r="R160" i="8"/>
  <c r="R383" i="8"/>
  <c r="AN390" i="5"/>
  <c r="W304" i="8"/>
  <c r="AU304" i="8" s="1"/>
  <c r="AT298" i="5"/>
  <c r="AL23" i="2"/>
  <c r="BA102" i="5"/>
  <c r="AO131" i="8"/>
  <c r="E6" i="14"/>
  <c r="AX384" i="5"/>
  <c r="AA381" i="8"/>
  <c r="AY381" i="8" s="1"/>
  <c r="S144" i="8"/>
  <c r="W343" i="8"/>
  <c r="X142" i="8"/>
  <c r="AU114" i="5"/>
  <c r="AA133" i="8"/>
  <c r="AE176" i="8"/>
  <c r="AQ152" i="5"/>
  <c r="AD360" i="8"/>
  <c r="AP360" i="8" s="1"/>
  <c r="F360" i="8" s="1"/>
  <c r="AP361" i="5"/>
  <c r="AX383" i="5"/>
  <c r="AA379" i="8"/>
  <c r="AS184" i="5"/>
  <c r="AG204" i="8"/>
  <c r="AC14" i="2"/>
  <c r="AP50" i="5"/>
  <c r="AD79" i="8"/>
  <c r="BA369" i="5"/>
  <c r="AO367" i="8"/>
  <c r="AB353" i="8"/>
  <c r="AR249" i="5"/>
  <c r="AF259" i="8"/>
  <c r="AR259" i="8" s="1"/>
  <c r="H259" i="8" s="1"/>
  <c r="AC175" i="8"/>
  <c r="AS134" i="5"/>
  <c r="AG159" i="8"/>
  <c r="Z249" i="8"/>
  <c r="AW237" i="5"/>
  <c r="AI102" i="8"/>
  <c r="AU73" i="5"/>
  <c r="Y29" i="8"/>
  <c r="W338" i="8"/>
  <c r="AQ150" i="5"/>
  <c r="AE174" i="8"/>
  <c r="AC342" i="8"/>
  <c r="AD299" i="8"/>
  <c r="AP292" i="5"/>
  <c r="R164" i="8"/>
  <c r="AA151" i="8"/>
  <c r="R29" i="8"/>
  <c r="Y124" i="8"/>
  <c r="W14" i="8"/>
  <c r="AT172" i="5"/>
  <c r="X326" i="8"/>
  <c r="AD64" i="2"/>
  <c r="AQ225" i="5"/>
  <c r="AE238" i="8"/>
  <c r="AC347" i="8"/>
  <c r="AB220" i="8"/>
  <c r="AY202" i="5"/>
  <c r="AG75" i="2"/>
  <c r="AI75" i="2"/>
  <c r="AR240" i="5"/>
  <c r="AF75" i="2"/>
  <c r="AR293" i="5"/>
  <c r="AF300" i="8"/>
  <c r="AR300" i="8" s="1"/>
  <c r="H300" i="8" s="1"/>
  <c r="AB134" i="8"/>
  <c r="AY105" i="5"/>
  <c r="U351" i="8"/>
  <c r="AC214" i="8"/>
  <c r="Y131" i="8"/>
  <c r="AV102" i="5"/>
  <c r="AO40" i="8"/>
  <c r="BA3" i="5"/>
  <c r="AF148" i="8"/>
  <c r="AR148" i="8" s="1"/>
  <c r="H148" i="8" s="1"/>
  <c r="AR120" i="5"/>
  <c r="Y249" i="8"/>
  <c r="AP135" i="5"/>
  <c r="AD160" i="8"/>
  <c r="X129" i="8"/>
  <c r="AU100" i="5"/>
  <c r="W202" i="8"/>
  <c r="W127" i="8"/>
  <c r="W26" i="8"/>
  <c r="BA193" i="5"/>
  <c r="AO212" i="8"/>
  <c r="AO49" i="8"/>
  <c r="BA14" i="5"/>
  <c r="AO70" i="8"/>
  <c r="BA39" i="5"/>
  <c r="S50" i="8"/>
  <c r="AW89" i="5"/>
  <c r="Z118" i="8"/>
  <c r="AF156" i="8"/>
  <c r="AR156" i="8" s="1"/>
  <c r="H156" i="8" s="1"/>
  <c r="AR131" i="5"/>
  <c r="S189" i="8"/>
  <c r="AP166" i="5"/>
  <c r="AC150" i="8"/>
  <c r="AZ122" i="5"/>
  <c r="Y253" i="8"/>
  <c r="AV242" i="5"/>
  <c r="AA314" i="8"/>
  <c r="AF59" i="2"/>
  <c r="AR299" i="5"/>
  <c r="R189" i="8"/>
  <c r="V363" i="8"/>
  <c r="AS180" i="5"/>
  <c r="AG15" i="8"/>
  <c r="Y266" i="8"/>
  <c r="AV257" i="5"/>
  <c r="Y6" i="8"/>
  <c r="AV48" i="5"/>
  <c r="Y55" i="8"/>
  <c r="R202" i="8"/>
  <c r="Y177" i="8"/>
  <c r="AV153" i="5"/>
  <c r="U333" i="8"/>
  <c r="AR333" i="5"/>
  <c r="X65" i="8"/>
  <c r="AU34" i="5"/>
  <c r="R200" i="8"/>
  <c r="Y287" i="8"/>
  <c r="AC184" i="8"/>
  <c r="AC119" i="8"/>
  <c r="AZ90" i="5"/>
  <c r="AC188" i="8"/>
  <c r="AC6" i="8"/>
  <c r="AF272" i="8"/>
  <c r="AR272" i="8" s="1"/>
  <c r="H272" i="8" s="1"/>
  <c r="AG5" i="2"/>
  <c r="AR263" i="5"/>
  <c r="AF5" i="2"/>
  <c r="AI5" i="2"/>
  <c r="Z128" i="8"/>
  <c r="AW99" i="5"/>
  <c r="AC218" i="8"/>
  <c r="Y364" i="8"/>
  <c r="AC229" i="8"/>
  <c r="AZ216" i="5"/>
  <c r="W218" i="8"/>
  <c r="AT199" i="5"/>
  <c r="R122" i="8"/>
  <c r="AA236" i="8"/>
  <c r="AY319" i="5"/>
  <c r="AM321" i="8"/>
  <c r="AY321" i="8" s="1"/>
  <c r="AF299" i="8"/>
  <c r="AR299" i="8" s="1"/>
  <c r="H299" i="8" s="1"/>
  <c r="AR292" i="5"/>
  <c r="AC8" i="2"/>
  <c r="AD75" i="8"/>
  <c r="AP44" i="5"/>
  <c r="AO218" i="8"/>
  <c r="BA199" i="5"/>
  <c r="S176" i="8"/>
  <c r="R263" i="8"/>
  <c r="R260" i="8"/>
  <c r="W188" i="8"/>
  <c r="AT165" i="5"/>
  <c r="AB286" i="8"/>
  <c r="AY278" i="5"/>
  <c r="AO187" i="8"/>
  <c r="BA164" i="5"/>
  <c r="AO266" i="8"/>
  <c r="BA257" i="5"/>
  <c r="BA97" i="5"/>
  <c r="AO126" i="8"/>
  <c r="AY321" i="5"/>
  <c r="AM323" i="8"/>
  <c r="AY323" i="8" s="1"/>
  <c r="O323" i="8" s="1"/>
  <c r="AD56" i="2"/>
  <c r="AE107" i="8"/>
  <c r="AQ78" i="5"/>
  <c r="AL64" i="2"/>
  <c r="W238" i="8"/>
  <c r="AT225" i="5"/>
  <c r="AO142" i="8"/>
  <c r="BA114" i="5"/>
  <c r="Y381" i="8"/>
  <c r="AV384" i="5"/>
  <c r="AA88" i="8"/>
  <c r="AA40" i="8"/>
  <c r="AP64" i="5"/>
  <c r="AD93" i="8"/>
  <c r="S171" i="8"/>
  <c r="AR179" i="5"/>
  <c r="AF201" i="8"/>
  <c r="AR201" i="8" s="1"/>
  <c r="H201" i="8" s="1"/>
  <c r="W229" i="8"/>
  <c r="Y304" i="8"/>
  <c r="AV298" i="5"/>
  <c r="AB209" i="8"/>
  <c r="AY189" i="5"/>
  <c r="AV97" i="5"/>
  <c r="Y126" i="8"/>
  <c r="AR298" i="5"/>
  <c r="U304" i="8"/>
  <c r="AF23" i="2"/>
  <c r="U61" i="8"/>
  <c r="AC61" i="8"/>
  <c r="AZ29" i="5"/>
  <c r="AC270" i="8"/>
  <c r="AR18" i="5"/>
  <c r="AF53" i="8"/>
  <c r="AR53" i="8" s="1"/>
  <c r="H53" i="8" s="1"/>
  <c r="AF91" i="8"/>
  <c r="AR91" i="8" s="1"/>
  <c r="H91" i="8" s="1"/>
  <c r="AR62" i="5"/>
  <c r="AG4" i="2"/>
  <c r="AI4" i="2"/>
  <c r="AR254" i="5"/>
  <c r="AF26" i="8"/>
  <c r="AR26" i="8" s="1"/>
  <c r="H26" i="8" s="1"/>
  <c r="AF4" i="2"/>
  <c r="Z54" i="8"/>
  <c r="AW21" i="5"/>
  <c r="Z263" i="8"/>
  <c r="AW253" i="5"/>
  <c r="Z160" i="8"/>
  <c r="AW135" i="5"/>
  <c r="Z86" i="8"/>
  <c r="AW57" i="5"/>
  <c r="AP134" i="5"/>
  <c r="AD159" i="8"/>
  <c r="AU126" i="8"/>
  <c r="AO190" i="8"/>
  <c r="BA167" i="5"/>
  <c r="S24" i="8"/>
  <c r="AP228" i="5"/>
  <c r="AB210" i="8"/>
  <c r="AY191" i="5"/>
  <c r="R237" i="8"/>
  <c r="W122" i="8"/>
  <c r="X321" i="8"/>
  <c r="AC64" i="2"/>
  <c r="S238" i="8"/>
  <c r="AP225" i="5"/>
  <c r="AE202" i="8"/>
  <c r="AQ181" i="5"/>
  <c r="U24" i="8"/>
  <c r="AR228" i="5"/>
  <c r="AG76" i="2"/>
  <c r="AI76" i="2"/>
  <c r="AR87" i="5"/>
  <c r="AF116" i="8"/>
  <c r="AR116" i="8" s="1"/>
  <c r="H116" i="8" s="1"/>
  <c r="AF76" i="2"/>
  <c r="AM126" i="8"/>
  <c r="AY97" i="5"/>
  <c r="X80" i="8"/>
  <c r="AP253" i="5"/>
  <c r="AD263" i="8"/>
  <c r="R253" i="8"/>
  <c r="W131" i="8"/>
  <c r="AT102" i="5"/>
  <c r="AL26" i="2"/>
  <c r="BA32" i="5"/>
  <c r="AO63" i="8"/>
  <c r="BA298" i="5"/>
  <c r="AO304" i="8"/>
  <c r="AK386" i="8"/>
  <c r="AW393" i="5"/>
  <c r="AB68" i="8"/>
  <c r="AY37" i="5"/>
  <c r="AA130" i="8"/>
  <c r="Y164" i="8"/>
  <c r="AV139" i="5"/>
  <c r="Z299" i="8"/>
  <c r="AC352" i="8"/>
  <c r="AC381" i="8"/>
  <c r="AZ384" i="5"/>
  <c r="AA187" i="8"/>
  <c r="AL78" i="2"/>
  <c r="W89" i="8"/>
  <c r="AU89" i="8" s="1"/>
  <c r="AT60" i="5"/>
  <c r="AA190" i="8"/>
  <c r="AC148" i="8"/>
  <c r="AZ120" i="5"/>
  <c r="X189" i="8"/>
  <c r="AU166" i="5"/>
  <c r="X229" i="8"/>
  <c r="AU216" i="5"/>
  <c r="X184" i="8"/>
  <c r="Y237" i="8"/>
  <c r="AV224" i="5"/>
  <c r="BA15" i="5"/>
  <c r="AO50" i="8"/>
  <c r="Y108" i="8"/>
  <c r="U16" i="8"/>
  <c r="AR183" i="5"/>
  <c r="AO275" i="8"/>
  <c r="BA267" i="5"/>
  <c r="R62" i="8"/>
  <c r="AB221" i="8"/>
  <c r="AY206" i="5"/>
  <c r="AR214" i="5"/>
  <c r="AF22" i="8"/>
  <c r="AR22" i="8" s="1"/>
  <c r="H22" i="8" s="1"/>
  <c r="AG304" i="8"/>
  <c r="AS298" i="5"/>
  <c r="AK23" i="2"/>
  <c r="AC128" i="8"/>
  <c r="AC49" i="8"/>
  <c r="AZ14" i="5"/>
  <c r="Z176" i="8"/>
  <c r="Z84" i="8"/>
  <c r="AW55" i="5"/>
  <c r="AP32" i="5"/>
  <c r="AD63" i="8"/>
  <c r="W356" i="8"/>
  <c r="W273" i="8"/>
  <c r="AF240" i="8"/>
  <c r="AR240" i="8" s="1"/>
  <c r="H240" i="8" s="1"/>
  <c r="AR227" i="5"/>
  <c r="AC142" i="8"/>
  <c r="AZ114" i="5"/>
  <c r="Z312" i="8"/>
  <c r="AW310" i="5"/>
  <c r="W371" i="8"/>
  <c r="AA275" i="8"/>
  <c r="S237" i="4"/>
  <c r="AA104" i="5" s="1"/>
  <c r="S228" i="4"/>
  <c r="AA218" i="5" s="1"/>
  <c r="BE88" i="2"/>
  <c r="BE87" i="2"/>
  <c r="C144" i="4"/>
  <c r="C155" i="5" s="1"/>
  <c r="C161" i="4"/>
  <c r="C217" i="5" s="1"/>
  <c r="C159" i="4"/>
  <c r="C215" i="5" s="1"/>
  <c r="C95" i="4"/>
  <c r="C273" i="5" s="1"/>
  <c r="R324" i="4"/>
  <c r="R330" i="4"/>
  <c r="R311" i="4"/>
  <c r="I274" i="4"/>
  <c r="I270" i="4"/>
  <c r="I258" i="4"/>
  <c r="I281" i="4"/>
  <c r="I257" i="4"/>
  <c r="I280" i="4"/>
  <c r="I96" i="4"/>
  <c r="Z195" i="4"/>
  <c r="AL228" i="5" s="1"/>
  <c r="Z133" i="4"/>
  <c r="AL226" i="5" s="1"/>
  <c r="Z85" i="4"/>
  <c r="AL224" i="5" s="1"/>
  <c r="S203" i="4"/>
  <c r="AA37" i="5" s="1"/>
  <c r="S225" i="4"/>
  <c r="AA196" i="5" s="1"/>
  <c r="Y284" i="4"/>
  <c r="AJ106" i="5" s="1"/>
  <c r="Y77" i="4"/>
  <c r="AJ119" i="5" s="1"/>
  <c r="Y286" i="4"/>
  <c r="AJ108" i="5" s="1"/>
  <c r="Y241" i="4"/>
  <c r="AJ128" i="5" s="1"/>
  <c r="Y285" i="4"/>
  <c r="AJ107" i="5" s="1"/>
  <c r="Y13" i="4"/>
  <c r="AJ142" i="5" s="1"/>
  <c r="Y290" i="4"/>
  <c r="AJ140" i="5" s="1"/>
  <c r="Y27" i="4"/>
  <c r="AJ264" i="5" s="1"/>
  <c r="Y63" i="4"/>
  <c r="AJ270" i="5" s="1"/>
  <c r="N303" i="4"/>
  <c r="T303" i="5" s="1"/>
  <c r="AI305" i="8" s="1"/>
  <c r="N331" i="4"/>
  <c r="T348" i="5" s="1"/>
  <c r="AI348" i="8" s="1"/>
  <c r="E119" i="4"/>
  <c r="F241" i="5" s="1"/>
  <c r="E217" i="4"/>
  <c r="E216" i="4"/>
  <c r="F246" i="4"/>
  <c r="H230" i="5" s="1"/>
  <c r="F194" i="4"/>
  <c r="H27" i="5" s="1"/>
  <c r="F122" i="4"/>
  <c r="H141" i="5" s="1"/>
  <c r="F123" i="4"/>
  <c r="H145" i="5" s="1"/>
  <c r="D190" i="4"/>
  <c r="E281" i="5" s="1"/>
  <c r="D191" i="4"/>
  <c r="E282" i="5" s="1"/>
  <c r="D129" i="4"/>
  <c r="E283" i="5" s="1"/>
  <c r="I180" i="4"/>
  <c r="I224" i="4"/>
  <c r="F360" i="4"/>
  <c r="F366" i="4"/>
  <c r="F356" i="4"/>
  <c r="F367" i="4"/>
  <c r="F368" i="4"/>
  <c r="F358" i="4"/>
  <c r="F369" i="4"/>
  <c r="F370" i="4"/>
  <c r="F365" i="4"/>
  <c r="J11" i="4"/>
  <c r="N255" i="5" s="1"/>
  <c r="J287" i="4"/>
  <c r="J221" i="4"/>
  <c r="J112" i="4"/>
  <c r="J265" i="4"/>
  <c r="J263" i="4"/>
  <c r="J279" i="4"/>
  <c r="J132" i="4"/>
  <c r="S368" i="4"/>
  <c r="AA369" i="5" s="1"/>
  <c r="S369" i="4"/>
  <c r="AA353" i="5" s="1"/>
  <c r="S356" i="4"/>
  <c r="AA366" i="5" s="1"/>
  <c r="S370" i="4"/>
  <c r="AA354" i="5" s="1"/>
  <c r="S367" i="4"/>
  <c r="AA368" i="5" s="1"/>
  <c r="S365" i="4"/>
  <c r="AA365" i="5" s="1"/>
  <c r="S366" i="4"/>
  <c r="AA367" i="5" s="1"/>
  <c r="J237" i="4"/>
  <c r="J242" i="4"/>
  <c r="J228" i="4"/>
  <c r="AV88" i="2"/>
  <c r="AV87" i="2"/>
  <c r="BA85" i="2"/>
  <c r="BA84" i="2"/>
  <c r="AC37" i="2"/>
  <c r="AD222" i="8"/>
  <c r="AP222" i="8" s="1"/>
  <c r="F222" i="8" s="1"/>
  <c r="AP207" i="5"/>
  <c r="F41" i="4"/>
  <c r="F126" i="4"/>
  <c r="F39" i="4"/>
  <c r="F170" i="4"/>
  <c r="F199" i="4"/>
  <c r="F295" i="4"/>
  <c r="F37" i="4"/>
  <c r="F172" i="4"/>
  <c r="F206" i="4"/>
  <c r="F260" i="4"/>
  <c r="F261" i="4"/>
  <c r="Q372" i="4"/>
  <c r="X356" i="5" s="1"/>
  <c r="Q361" i="4"/>
  <c r="X371" i="5" s="1"/>
  <c r="Q355" i="4"/>
  <c r="X362" i="5" s="1"/>
  <c r="Q373" i="4"/>
  <c r="X357" i="5" s="1"/>
  <c r="Q352" i="4"/>
  <c r="X358" i="5" s="1"/>
  <c r="Q364" i="4"/>
  <c r="X359" i="5" s="1"/>
  <c r="Q363" i="4"/>
  <c r="X372" i="5" s="1"/>
  <c r="Q362" i="4"/>
  <c r="X373" i="5" s="1"/>
  <c r="Q353" i="4"/>
  <c r="X360" i="5" s="1"/>
  <c r="BC93" i="2"/>
  <c r="BC94" i="2"/>
  <c r="Q359" i="4"/>
  <c r="X363" i="5" s="1"/>
  <c r="Q354" i="4"/>
  <c r="X370" i="5" s="1"/>
  <c r="Q357" i="4"/>
  <c r="X361" i="5" s="1"/>
  <c r="E177" i="4"/>
  <c r="E76" i="4"/>
  <c r="E25" i="4"/>
  <c r="E136" i="4"/>
  <c r="E178" i="4"/>
  <c r="E138" i="4"/>
  <c r="E235" i="4"/>
  <c r="E101" i="4"/>
  <c r="E175" i="4"/>
  <c r="L229" i="4"/>
  <c r="Q28" i="5" s="1"/>
  <c r="AH4" i="8" s="1"/>
  <c r="AT4" i="8" s="1"/>
  <c r="J4" i="8" s="1"/>
  <c r="L250" i="4"/>
  <c r="Q103" i="5" s="1"/>
  <c r="AH132" i="8" s="1"/>
  <c r="AT132" i="8" s="1"/>
  <c r="L2" i="4"/>
  <c r="L256" i="4"/>
  <c r="Q213" i="5" s="1"/>
  <c r="AH228" i="8" s="1"/>
  <c r="AT228" i="8" s="1"/>
  <c r="J228" i="8" s="1"/>
  <c r="L20" i="4"/>
  <c r="Q187" i="5" s="1"/>
  <c r="AH207" i="8" s="1"/>
  <c r="AT207" i="8" s="1"/>
  <c r="J207" i="8" s="1"/>
  <c r="L244" i="4"/>
  <c r="Q219" i="5" s="1"/>
  <c r="AH232" i="8" s="1"/>
  <c r="AT232" i="8" s="1"/>
  <c r="J232" i="8" s="1"/>
  <c r="L230" i="4"/>
  <c r="Q220" i="5" s="1"/>
  <c r="AH233" i="8" s="1"/>
  <c r="AT233" i="8" s="1"/>
  <c r="J233" i="8" s="1"/>
  <c r="L29" i="4"/>
  <c r="Q268" i="5" s="1"/>
  <c r="AH276" i="8" s="1"/>
  <c r="AT276" i="8" s="1"/>
  <c r="J276" i="8" s="1"/>
  <c r="F153" i="4"/>
  <c r="F201" i="4"/>
  <c r="AY12" i="5"/>
  <c r="AB3" i="8"/>
  <c r="X194" i="4"/>
  <c r="AI27" i="5" s="1"/>
  <c r="AN60" i="8" s="1"/>
  <c r="AZ60" i="8" s="1"/>
  <c r="P60" i="8" s="1"/>
  <c r="X122" i="4"/>
  <c r="AI141" i="5" s="1"/>
  <c r="AN166" i="8" s="1"/>
  <c r="AZ166" i="8" s="1"/>
  <c r="P166" i="8" s="1"/>
  <c r="X246" i="4"/>
  <c r="AI230" i="5" s="1"/>
  <c r="AN242" i="8" s="1"/>
  <c r="AZ242" i="8" s="1"/>
  <c r="P242" i="8" s="1"/>
  <c r="X245" i="4"/>
  <c r="AI229" i="5" s="1"/>
  <c r="AN241" i="8" s="1"/>
  <c r="AZ241" i="8" s="1"/>
  <c r="P241" i="8" s="1"/>
  <c r="I2" i="4"/>
  <c r="I20" i="4"/>
  <c r="L187" i="5" s="1"/>
  <c r="I250" i="4"/>
  <c r="I29" i="4"/>
  <c r="I229" i="4"/>
  <c r="I256" i="4"/>
  <c r="I244" i="4"/>
  <c r="I230" i="4"/>
  <c r="J262" i="4"/>
  <c r="N4" i="5" s="1"/>
  <c r="J22" i="4"/>
  <c r="J299" i="4"/>
  <c r="J130" i="4"/>
  <c r="J89" i="4"/>
  <c r="J59" i="4"/>
  <c r="D291" i="4"/>
  <c r="E101" i="5" s="1"/>
  <c r="D292" i="4"/>
  <c r="E143" i="5" s="1"/>
  <c r="D252" i="4"/>
  <c r="E157" i="5" s="1"/>
  <c r="D243" i="4"/>
  <c r="E193" i="5" s="1"/>
  <c r="AC13" i="2"/>
  <c r="AP56" i="5"/>
  <c r="AD85" i="8"/>
  <c r="AP85" i="8" s="1"/>
  <c r="F85" i="8" s="1"/>
  <c r="J211" i="4"/>
  <c r="J213" i="4"/>
  <c r="J214" i="4"/>
  <c r="J215" i="4"/>
  <c r="X42" i="4"/>
  <c r="AI16" i="5" s="1"/>
  <c r="AN51" i="8" s="1"/>
  <c r="AZ51" i="8" s="1"/>
  <c r="X44" i="4"/>
  <c r="AI18" i="5" s="1"/>
  <c r="AN53" i="8" s="1"/>
  <c r="AZ53" i="8" s="1"/>
  <c r="X43" i="4"/>
  <c r="AI17" i="5" s="1"/>
  <c r="AN52" i="8" s="1"/>
  <c r="AZ52" i="8" s="1"/>
  <c r="X32" i="4"/>
  <c r="AI129" i="5" s="1"/>
  <c r="AN154" i="8" s="1"/>
  <c r="AZ154" i="8" s="1"/>
  <c r="P154" i="8" s="1"/>
  <c r="X33" i="4"/>
  <c r="AI137" i="5" s="1"/>
  <c r="AN162" i="8" s="1"/>
  <c r="AZ162" i="8" s="1"/>
  <c r="P162" i="8" s="1"/>
  <c r="X8" i="4"/>
  <c r="AI177" i="5" s="1"/>
  <c r="AN199" i="8" s="1"/>
  <c r="X6" i="4"/>
  <c r="AI175" i="5" s="1"/>
  <c r="AN197" i="8" s="1"/>
  <c r="X30" i="4"/>
  <c r="AI275" i="5" s="1"/>
  <c r="AN283" i="8" s="1"/>
  <c r="X172" i="4"/>
  <c r="X261" i="4"/>
  <c r="X206" i="4"/>
  <c r="X170" i="4"/>
  <c r="X255" i="8"/>
  <c r="AU244" i="5"/>
  <c r="AW119" i="8"/>
  <c r="R22" i="4"/>
  <c r="Z12" i="5" s="1"/>
  <c r="AK3" i="8" s="1"/>
  <c r="R396" i="4"/>
  <c r="Z398" i="5" s="1"/>
  <c r="R400" i="4"/>
  <c r="Z407" i="5" s="1"/>
  <c r="R395" i="4"/>
  <c r="Z397" i="5" s="1"/>
  <c r="R399" i="4"/>
  <c r="Z406" i="5" s="1"/>
  <c r="R404" i="4"/>
  <c r="Z394" i="5" s="1"/>
  <c r="R394" i="4"/>
  <c r="Z396" i="5" s="1"/>
  <c r="R89" i="4"/>
  <c r="R59" i="4"/>
  <c r="R262" i="4"/>
  <c r="R130" i="4"/>
  <c r="R299" i="4"/>
  <c r="P370" i="4"/>
  <c r="W354" i="5" s="1"/>
  <c r="AJ353" i="8" s="1"/>
  <c r="P366" i="4"/>
  <c r="W367" i="5" s="1"/>
  <c r="AJ365" i="8" s="1"/>
  <c r="P360" i="4"/>
  <c r="W364" i="5" s="1"/>
  <c r="AJ362" i="8" s="1"/>
  <c r="P365" i="4"/>
  <c r="W365" i="5" s="1"/>
  <c r="AJ363" i="8" s="1"/>
  <c r="P369" i="4"/>
  <c r="W353" i="5" s="1"/>
  <c r="AJ352" i="8" s="1"/>
  <c r="P356" i="4"/>
  <c r="W366" i="5" s="1"/>
  <c r="AJ364" i="8" s="1"/>
  <c r="Q265" i="4"/>
  <c r="X6" i="5" s="1"/>
  <c r="Q221" i="4"/>
  <c r="X80" i="5" s="1"/>
  <c r="Q296" i="4"/>
  <c r="X156" i="5" s="1"/>
  <c r="Q11" i="4"/>
  <c r="X255" i="5" s="1"/>
  <c r="Q279" i="4"/>
  <c r="X286" i="5" s="1"/>
  <c r="Q263" i="4"/>
  <c r="X289" i="5" s="1"/>
  <c r="Q112" i="4"/>
  <c r="X274" i="5" s="1"/>
  <c r="F139" i="4"/>
  <c r="H110" i="5" s="1"/>
  <c r="F100" i="4"/>
  <c r="F197" i="4"/>
  <c r="F198" i="4"/>
  <c r="F143" i="4"/>
  <c r="F162" i="4"/>
  <c r="F93" i="4"/>
  <c r="F145" i="4"/>
  <c r="F92" i="4"/>
  <c r="F98" i="4"/>
  <c r="F189" i="4"/>
  <c r="F227" i="4"/>
  <c r="F118" i="4"/>
  <c r="F415" i="4"/>
  <c r="Q267" i="4"/>
  <c r="X73" i="5" s="1"/>
  <c r="Q97" i="4"/>
  <c r="X130" i="5" s="1"/>
  <c r="Q142" i="4"/>
  <c r="X125" i="5" s="1"/>
  <c r="Q269" i="4"/>
  <c r="X2" i="5" s="1"/>
  <c r="Y75" i="8"/>
  <c r="AV44" i="5"/>
  <c r="O237" i="4"/>
  <c r="U104" i="5" s="1"/>
  <c r="O228" i="4"/>
  <c r="U218" i="5" s="1"/>
  <c r="BA88" i="2"/>
  <c r="BA87" i="2"/>
  <c r="L291" i="4"/>
  <c r="Q101" i="5" s="1"/>
  <c r="AH130" i="8" s="1"/>
  <c r="AT130" i="8" s="1"/>
  <c r="J130" i="8" s="1"/>
  <c r="L268" i="4"/>
  <c r="Q100" i="5" s="1"/>
  <c r="AH129" i="8" s="1"/>
  <c r="AT129" i="8" s="1"/>
  <c r="J129" i="8" s="1"/>
  <c r="L292" i="4"/>
  <c r="Q143" i="5" s="1"/>
  <c r="AH168" i="8" s="1"/>
  <c r="AT168" i="8" s="1"/>
  <c r="J168" i="8" s="1"/>
  <c r="L252" i="4"/>
  <c r="Q157" i="5" s="1"/>
  <c r="AH181" i="8" s="1"/>
  <c r="AT181" i="8" s="1"/>
  <c r="J181" i="8" s="1"/>
  <c r="C149" i="4"/>
  <c r="C201" i="5" s="1"/>
  <c r="R219" i="8" s="1"/>
  <c r="C128" i="4"/>
  <c r="C179" i="5" s="1"/>
  <c r="C117" i="4"/>
  <c r="C232" i="5" s="1"/>
  <c r="C146" i="4"/>
  <c r="C284" i="5" s="1"/>
  <c r="R291" i="8" s="1"/>
  <c r="C192" i="4"/>
  <c r="C285" i="5" s="1"/>
  <c r="R292" i="8" s="1"/>
  <c r="L101" i="4"/>
  <c r="Q35" i="5" s="1"/>
  <c r="AH66" i="8" s="1"/>
  <c r="AT66" i="8" s="1"/>
  <c r="J66" i="8" s="1"/>
  <c r="L136" i="4"/>
  <c r="Q84" i="5" s="1"/>
  <c r="AH113" i="8" s="1"/>
  <c r="AT113" i="8" s="1"/>
  <c r="L177" i="4"/>
  <c r="Q83" i="5" s="1"/>
  <c r="AH112" i="8" s="1"/>
  <c r="AT112" i="8" s="1"/>
  <c r="J112" i="8" s="1"/>
  <c r="L175" i="4"/>
  <c r="Q81" i="5" s="1"/>
  <c r="AH110" i="8" s="1"/>
  <c r="AT110" i="8" s="1"/>
  <c r="J110" i="8" s="1"/>
  <c r="L76" i="4"/>
  <c r="Q115" i="5" s="1"/>
  <c r="AH143" i="8" s="1"/>
  <c r="AT143" i="8" s="1"/>
  <c r="L178" i="4"/>
  <c r="Q85" i="5" s="1"/>
  <c r="AH114" i="8" s="1"/>
  <c r="AT114" i="8" s="1"/>
  <c r="J114" i="8" s="1"/>
  <c r="L25" i="4"/>
  <c r="Q252" i="5" s="1"/>
  <c r="AH262" i="8" s="1"/>
  <c r="AT262" i="8" s="1"/>
  <c r="J262" i="8" s="1"/>
  <c r="L105" i="4"/>
  <c r="Q57" i="5" s="1"/>
  <c r="AH86" i="8" s="1"/>
  <c r="AT86" i="8" s="1"/>
  <c r="J86" i="8" s="1"/>
  <c r="L106" i="4"/>
  <c r="Q58" i="5" s="1"/>
  <c r="AH87" i="8" s="1"/>
  <c r="L57" i="4"/>
  <c r="Q257" i="5" s="1"/>
  <c r="AH266" i="8" s="1"/>
  <c r="AT266" i="8" s="1"/>
  <c r="J266" i="8" s="1"/>
  <c r="I141" i="4"/>
  <c r="L123" i="5" s="1"/>
  <c r="I161" i="4"/>
  <c r="L217" i="5" s="1"/>
  <c r="I144" i="4"/>
  <c r="I160" i="4"/>
  <c r="I95" i="4"/>
  <c r="L273" i="5" s="1"/>
  <c r="Y149" i="4"/>
  <c r="AJ201" i="5" s="1"/>
  <c r="Y146" i="4"/>
  <c r="AJ284" i="5" s="1"/>
  <c r="Y192" i="4"/>
  <c r="AJ285" i="5" s="1"/>
  <c r="R44" i="4"/>
  <c r="Z18" i="5" s="1"/>
  <c r="AK53" i="8" s="1"/>
  <c r="R42" i="4"/>
  <c r="Z16" i="5" s="1"/>
  <c r="AK51" i="8" s="1"/>
  <c r="R43" i="4"/>
  <c r="Z17" i="5" s="1"/>
  <c r="AK52" i="8" s="1"/>
  <c r="R32" i="4"/>
  <c r="Z129" i="5" s="1"/>
  <c r="AK154" i="8" s="1"/>
  <c r="R33" i="4"/>
  <c r="Z137" i="5" s="1"/>
  <c r="AK162" i="8" s="1"/>
  <c r="R6" i="4"/>
  <c r="Z175" i="5" s="1"/>
  <c r="R8" i="4"/>
  <c r="Z177" i="5" s="1"/>
  <c r="R140" i="4"/>
  <c r="R208" i="4"/>
  <c r="R220" i="4"/>
  <c r="C214" i="4"/>
  <c r="C25" i="5" s="1"/>
  <c r="C211" i="4"/>
  <c r="C22" i="5" s="1"/>
  <c r="C213" i="4"/>
  <c r="C24" i="5" s="1"/>
  <c r="C215" i="4"/>
  <c r="C26" i="5" s="1"/>
  <c r="P297" i="4"/>
  <c r="W272" i="5" s="1"/>
  <c r="AJ280" i="8" s="1"/>
  <c r="P411" i="4"/>
  <c r="W411" i="5" s="1"/>
  <c r="AJ402" i="8" s="1"/>
  <c r="AV402" i="8" s="1"/>
  <c r="L402" i="8" s="1"/>
  <c r="P405" i="4"/>
  <c r="W410" i="5" s="1"/>
  <c r="AJ401" i="8" s="1"/>
  <c r="AV401" i="8" s="1"/>
  <c r="L401" i="8" s="1"/>
  <c r="D60" i="4"/>
  <c r="E66" i="5" s="1"/>
  <c r="D109" i="4"/>
  <c r="E65" i="5" s="1"/>
  <c r="D187" i="4"/>
  <c r="E151" i="5" s="1"/>
  <c r="D185" i="4"/>
  <c r="E136" i="5" s="1"/>
  <c r="D200" i="4"/>
  <c r="E244" i="5" s="1"/>
  <c r="D125" i="4"/>
  <c r="E278" i="5" s="1"/>
  <c r="F228" i="4"/>
  <c r="AR88" i="2"/>
  <c r="AR87" i="2"/>
  <c r="X212" i="4"/>
  <c r="AI23" i="5" s="1"/>
  <c r="AN56" i="8" s="1"/>
  <c r="AZ56" i="8" s="1"/>
  <c r="X148" i="4"/>
  <c r="AI200" i="5" s="1"/>
  <c r="AN18" i="8" s="1"/>
  <c r="AZ18" i="8" s="1"/>
  <c r="P18" i="8" s="1"/>
  <c r="X147" i="4"/>
  <c r="AI293" i="5" s="1"/>
  <c r="AN300" i="8" s="1"/>
  <c r="AZ300" i="8" s="1"/>
  <c r="P300" i="8" s="1"/>
  <c r="C294" i="4"/>
  <c r="C144" i="5" s="1"/>
  <c r="C264" i="4"/>
  <c r="C198" i="5" s="1"/>
  <c r="C301" i="4"/>
  <c r="C189" i="5" s="1"/>
  <c r="R209" i="8" s="1"/>
  <c r="C255" i="4"/>
  <c r="C195" i="5" s="1"/>
  <c r="C226" i="4"/>
  <c r="C197" i="5" s="1"/>
  <c r="F119" i="8"/>
  <c r="C105" i="4"/>
  <c r="C57" i="5" s="1"/>
  <c r="C106" i="4"/>
  <c r="C58" i="5" s="1"/>
  <c r="C4" i="4"/>
  <c r="C174" i="5" s="1"/>
  <c r="C61" i="4"/>
  <c r="C262" i="5" s="1"/>
  <c r="R271" i="8" s="1"/>
  <c r="C102" i="4"/>
  <c r="C266" i="5" s="1"/>
  <c r="AO85" i="2"/>
  <c r="AO84" i="2"/>
  <c r="M248" i="4"/>
  <c r="R76" i="5" s="1"/>
  <c r="M291" i="4"/>
  <c r="R101" i="5" s="1"/>
  <c r="M292" i="4"/>
  <c r="R143" i="5" s="1"/>
  <c r="M252" i="4"/>
  <c r="R157" i="5" s="1"/>
  <c r="W104" i="8"/>
  <c r="AL13" i="2"/>
  <c r="AT56" i="5"/>
  <c r="W85" i="8"/>
  <c r="M54" i="4"/>
  <c r="R47" i="5" s="1"/>
  <c r="M58" i="4"/>
  <c r="R41" i="5" s="1"/>
  <c r="M51" i="4"/>
  <c r="R39" i="5" s="1"/>
  <c r="M36" i="4"/>
  <c r="R42" i="5" s="1"/>
  <c r="M78" i="4"/>
  <c r="R121" i="5" s="1"/>
  <c r="M3" i="4"/>
  <c r="R118" i="5" s="1"/>
  <c r="M165" i="4"/>
  <c r="R245" i="5" s="1"/>
  <c r="M168" i="4"/>
  <c r="R248" i="5" s="1"/>
  <c r="M166" i="4"/>
  <c r="R246" i="5" s="1"/>
  <c r="M124" i="4"/>
  <c r="R276" i="5" s="1"/>
  <c r="M402" i="4"/>
  <c r="AC172" i="8"/>
  <c r="AZ147" i="5"/>
  <c r="BI84" i="2"/>
  <c r="BI85" i="2"/>
  <c r="BF84" i="2"/>
  <c r="BF85" i="2"/>
  <c r="Z43" i="4"/>
  <c r="AL17" i="5" s="1"/>
  <c r="Z42" i="4"/>
  <c r="AL16" i="5" s="1"/>
  <c r="Z32" i="4"/>
  <c r="AL129" i="5" s="1"/>
  <c r="Z8" i="4"/>
  <c r="AL177" i="5" s="1"/>
  <c r="Z6" i="4"/>
  <c r="AL175" i="5" s="1"/>
  <c r="Z30" i="4"/>
  <c r="AL275" i="5" s="1"/>
  <c r="Z111" i="4"/>
  <c r="AL94" i="5" s="1"/>
  <c r="Z297" i="4"/>
  <c r="AL272" i="5" s="1"/>
  <c r="Z260" i="4"/>
  <c r="AL46" i="5" s="1"/>
  <c r="Z170" i="4"/>
  <c r="AL68" i="5" s="1"/>
  <c r="Z37" i="4"/>
  <c r="AL62" i="5" s="1"/>
  <c r="Z172" i="4"/>
  <c r="AL70" i="5" s="1"/>
  <c r="Z261" i="4"/>
  <c r="AL96" i="5" s="1"/>
  <c r="Z295" i="4"/>
  <c r="AL98" i="5" s="1"/>
  <c r="Z126" i="4"/>
  <c r="AL162" i="5" s="1"/>
  <c r="Z199" i="4"/>
  <c r="AL243" i="5" s="1"/>
  <c r="Z41" i="4"/>
  <c r="AL279" i="5" s="1"/>
  <c r="AO88" i="8"/>
  <c r="BA59" i="5"/>
  <c r="Z60" i="4"/>
  <c r="AL66" i="5" s="1"/>
  <c r="Z55" i="4"/>
  <c r="AL67" i="5" s="1"/>
  <c r="Z185" i="4"/>
  <c r="AL136" i="5" s="1"/>
  <c r="Z187" i="4"/>
  <c r="AL151" i="5" s="1"/>
  <c r="Z10" i="4"/>
  <c r="AL254" i="5" s="1"/>
  <c r="Z200" i="4"/>
  <c r="AL244" i="5" s="1"/>
  <c r="Z125" i="4"/>
  <c r="AL278" i="5" s="1"/>
  <c r="L305" i="4"/>
  <c r="Q314" i="5" s="1"/>
  <c r="AH316" i="8" s="1"/>
  <c r="AT316" i="8" s="1"/>
  <c r="J316" i="8" s="1"/>
  <c r="L306" i="4"/>
  <c r="Q315" i="5" s="1"/>
  <c r="AH317" i="8" s="1"/>
  <c r="AT317" i="8" s="1"/>
  <c r="J317" i="8" s="1"/>
  <c r="L343" i="4"/>
  <c r="Q330" i="5" s="1"/>
  <c r="AH331" i="8" s="1"/>
  <c r="AT331" i="8" s="1"/>
  <c r="J331" i="8" s="1"/>
  <c r="L351" i="4"/>
  <c r="Q341" i="5" s="1"/>
  <c r="AH341" i="8" s="1"/>
  <c r="AT341" i="8" s="1"/>
  <c r="J341" i="8" s="1"/>
  <c r="L323" i="4"/>
  <c r="Q326" i="5" s="1"/>
  <c r="AH327" i="8" s="1"/>
  <c r="AT327" i="8" s="1"/>
  <c r="J327" i="8" s="1"/>
  <c r="L344" i="4"/>
  <c r="Q338" i="5" s="1"/>
  <c r="AH338" i="8" s="1"/>
  <c r="AT338" i="8" s="1"/>
  <c r="J338" i="8" s="1"/>
  <c r="L350" i="4"/>
  <c r="Q339" i="5" s="1"/>
  <c r="AH339" i="8" s="1"/>
  <c r="AT339" i="8" s="1"/>
  <c r="J339" i="8" s="1"/>
  <c r="L345" i="4"/>
  <c r="Q337" i="5" s="1"/>
  <c r="AH337" i="8" s="1"/>
  <c r="AT337" i="8" s="1"/>
  <c r="J337" i="8" s="1"/>
  <c r="D23" i="4"/>
  <c r="E13" i="5" s="1"/>
  <c r="AD48" i="8" s="1"/>
  <c r="D298" i="4"/>
  <c r="E124" i="5" s="1"/>
  <c r="F293" i="4"/>
  <c r="H89" i="5" s="1"/>
  <c r="F77" i="4"/>
  <c r="H119" i="5" s="1"/>
  <c r="F286" i="4"/>
  <c r="H108" i="5" s="1"/>
  <c r="F284" i="4"/>
  <c r="H106" i="5" s="1"/>
  <c r="F290" i="4"/>
  <c r="H140" i="5" s="1"/>
  <c r="F27" i="4"/>
  <c r="H264" i="5" s="1"/>
  <c r="F63" i="4"/>
  <c r="H270" i="5" s="1"/>
  <c r="X265" i="4"/>
  <c r="AI6" i="5" s="1"/>
  <c r="AN42" i="8" s="1"/>
  <c r="AZ42" i="8" s="1"/>
  <c r="P42" i="8" s="1"/>
  <c r="X221" i="4"/>
  <c r="AI80" i="5" s="1"/>
  <c r="AN109" i="8" s="1"/>
  <c r="X11" i="4"/>
  <c r="AI255" i="5" s="1"/>
  <c r="AN264" i="8" s="1"/>
  <c r="AZ264" i="8" s="1"/>
  <c r="P264" i="8" s="1"/>
  <c r="X279" i="4"/>
  <c r="AI286" i="5" s="1"/>
  <c r="AN293" i="8" s="1"/>
  <c r="AZ293" i="8" s="1"/>
  <c r="P293" i="8" s="1"/>
  <c r="X263" i="4"/>
  <c r="AI289" i="5" s="1"/>
  <c r="AN296" i="8" s="1"/>
  <c r="X287" i="4"/>
  <c r="AI287" i="5" s="1"/>
  <c r="AN294" i="8" s="1"/>
  <c r="AZ294" i="8" s="1"/>
  <c r="X112" i="4"/>
  <c r="AI274" i="5" s="1"/>
  <c r="AN282" i="8" s="1"/>
  <c r="AZ282" i="8" s="1"/>
  <c r="P282" i="8" s="1"/>
  <c r="P311" i="4"/>
  <c r="W310" i="5" s="1"/>
  <c r="AJ312" i="8" s="1"/>
  <c r="P324" i="4"/>
  <c r="W327" i="5" s="1"/>
  <c r="AJ328" i="8" s="1"/>
  <c r="P330" i="4"/>
  <c r="W347" i="5" s="1"/>
  <c r="AJ347" i="8" s="1"/>
  <c r="L127" i="4"/>
  <c r="Q171" i="5" s="1"/>
  <c r="AH194" i="8" s="1"/>
  <c r="AT194" i="8" s="1"/>
  <c r="J194" i="8" s="1"/>
  <c r="L137" i="4"/>
  <c r="Q260" i="5" s="1"/>
  <c r="AH269" i="8" s="1"/>
  <c r="AT269" i="8" s="1"/>
  <c r="J269" i="8" s="1"/>
  <c r="L182" i="4"/>
  <c r="Q11" i="5" s="1"/>
  <c r="AH47" i="8" s="1"/>
  <c r="AT47" i="8" s="1"/>
  <c r="J47" i="8" s="1"/>
  <c r="L184" i="4"/>
  <c r="Q132" i="5" s="1"/>
  <c r="AH157" i="8" s="1"/>
  <c r="AT157" i="8" s="1"/>
  <c r="J157" i="8" s="1"/>
  <c r="L120" i="4"/>
  <c r="Q93" i="5" s="1"/>
  <c r="AH122" i="8" s="1"/>
  <c r="AT122" i="8" s="1"/>
  <c r="J122" i="8" s="1"/>
  <c r="L240" i="4"/>
  <c r="Q117" i="5" s="1"/>
  <c r="AH145" i="8" s="1"/>
  <c r="AT145" i="8" s="1"/>
  <c r="J145" i="8" s="1"/>
  <c r="L219" i="4"/>
  <c r="Q265" i="5" s="1"/>
  <c r="AH27" i="8" s="1"/>
  <c r="AT27" i="8" s="1"/>
  <c r="J27" i="8" s="1"/>
  <c r="L209" i="4"/>
  <c r="Q259" i="5" s="1"/>
  <c r="AH268" i="8" s="1"/>
  <c r="AT268" i="8" s="1"/>
  <c r="J268" i="8" s="1"/>
  <c r="F220" i="4"/>
  <c r="H9" i="5" s="1"/>
  <c r="F208" i="4"/>
  <c r="AX309" i="8"/>
  <c r="O304" i="4"/>
  <c r="U304" i="5" s="1"/>
  <c r="O332" i="4"/>
  <c r="U349" i="5" s="1"/>
  <c r="AV91" i="5"/>
  <c r="Y120" i="8"/>
  <c r="C151" i="4"/>
  <c r="C204" i="5" s="1"/>
  <c r="R20" i="8" s="1"/>
  <c r="C152" i="4"/>
  <c r="C205" i="5" s="1"/>
  <c r="R21" i="8" s="1"/>
  <c r="Y74" i="4"/>
  <c r="AJ208" i="5" s="1"/>
  <c r="Y19" i="4"/>
  <c r="AJ186" i="5" s="1"/>
  <c r="Y282" i="4"/>
  <c r="AJ222" i="5" s="1"/>
  <c r="Y407" i="4"/>
  <c r="AJ395" i="5" s="1"/>
  <c r="Z294" i="4"/>
  <c r="AL144" i="5" s="1"/>
  <c r="Z254" i="4"/>
  <c r="AL194" i="5" s="1"/>
  <c r="Z226" i="4"/>
  <c r="AL197" i="5" s="1"/>
  <c r="Z301" i="4"/>
  <c r="AL189" i="5" s="1"/>
  <c r="Z264" i="4"/>
  <c r="AL198" i="5" s="1"/>
  <c r="BA384" i="5"/>
  <c r="AO381" i="8"/>
  <c r="BA381" i="8" s="1"/>
  <c r="W381" i="8"/>
  <c r="AL52" i="2"/>
  <c r="AT384" i="5"/>
  <c r="Z19" i="4"/>
  <c r="AL186" i="5" s="1"/>
  <c r="Z74" i="4"/>
  <c r="AL208" i="5" s="1"/>
  <c r="Z282" i="4"/>
  <c r="AL222" i="5" s="1"/>
  <c r="AG69" i="2"/>
  <c r="AI69" i="2"/>
  <c r="AF74" i="8"/>
  <c r="AR74" i="8" s="1"/>
  <c r="H74" i="8" s="1"/>
  <c r="AR43" i="5"/>
  <c r="AP239" i="5"/>
  <c r="AD251" i="8"/>
  <c r="AP251" i="8" s="1"/>
  <c r="U299" i="4" a="1"/>
  <c r="U299" i="4" s="1"/>
  <c r="AD154" i="5" s="1"/>
  <c r="U294" i="4" a="1"/>
  <c r="U294" i="4" s="1"/>
  <c r="AD144" i="5" s="1"/>
  <c r="U185" i="4" a="1"/>
  <c r="U185" i="4" s="1"/>
  <c r="AD136" i="5" s="1"/>
  <c r="U187" i="4" a="1"/>
  <c r="U187" i="4" s="1"/>
  <c r="AD151" i="5" s="1"/>
  <c r="U254" i="4" a="1"/>
  <c r="U254" i="4" s="1"/>
  <c r="AD194" i="5" s="1"/>
  <c r="U226" i="4" a="1"/>
  <c r="U226" i="4" s="1"/>
  <c r="AD197" i="5" s="1"/>
  <c r="U124" i="4" a="1"/>
  <c r="U124" i="4" s="1"/>
  <c r="AD276" i="5" s="1"/>
  <c r="U125" i="4" a="1"/>
  <c r="U125" i="4" s="1"/>
  <c r="AD278" i="5" s="1"/>
  <c r="T87" i="4" a="1"/>
  <c r="T87" i="4" s="1"/>
  <c r="AC298" i="5" s="1"/>
  <c r="AN298" i="5" s="1"/>
  <c r="T86" i="4" a="1"/>
  <c r="T86" i="4" s="1"/>
  <c r="AC299" i="5" s="1"/>
  <c r="AX299" i="5" s="1"/>
  <c r="T173" i="4" a="1"/>
  <c r="T173" i="4" s="1"/>
  <c r="AC78" i="5" s="1"/>
  <c r="T111" i="4" a="1"/>
  <c r="T111" i="4" s="1"/>
  <c r="AC94" i="5" s="1"/>
  <c r="AL123" i="8" s="1"/>
  <c r="T182" i="4" a="1"/>
  <c r="T182" i="4" s="1"/>
  <c r="AC11" i="5" s="1"/>
  <c r="AL47" i="8" s="1"/>
  <c r="T169" i="4" a="1"/>
  <c r="T169" i="4" s="1"/>
  <c r="AC54" i="5" s="1"/>
  <c r="AL83" i="8" s="1"/>
  <c r="T241" i="4" a="1"/>
  <c r="T241" i="4" s="1"/>
  <c r="AC128" i="5" s="1"/>
  <c r="AL153" i="8" s="1"/>
  <c r="T142" i="4" a="1"/>
  <c r="T142" i="4" s="1"/>
  <c r="AC125" i="5" s="1"/>
  <c r="AL11" i="8" s="1"/>
  <c r="T293" i="4" a="1"/>
  <c r="T293" i="4" s="1"/>
  <c r="AC89" i="5" s="1"/>
  <c r="AL118" i="8" s="1"/>
  <c r="AX118" i="8" s="1"/>
  <c r="T177" i="4" a="1"/>
  <c r="T177" i="4" s="1"/>
  <c r="AC83" i="5" s="1"/>
  <c r="AL112" i="8" s="1"/>
  <c r="T138" i="4" a="1"/>
  <c r="T138" i="4" s="1"/>
  <c r="AC86" i="5" s="1"/>
  <c r="AL115" i="8" s="1"/>
  <c r="T91" i="4" a="1"/>
  <c r="T91" i="4" s="1"/>
  <c r="AC92" i="5" s="1"/>
  <c r="AL121" i="8" s="1"/>
  <c r="T286" i="4" a="1"/>
  <c r="T286" i="4" s="1"/>
  <c r="AC108" i="5" s="1"/>
  <c r="AL137" i="8" s="1"/>
  <c r="T278" i="4" a="1"/>
  <c r="T278" i="4" s="1"/>
  <c r="AC139" i="5" s="1"/>
  <c r="AL164" i="8" s="1"/>
  <c r="T24" i="4" a="1"/>
  <c r="T24" i="4" s="1"/>
  <c r="AC182" i="5" s="1"/>
  <c r="AL203" i="8" s="1"/>
  <c r="T282" i="4" a="1"/>
  <c r="T282" i="4" s="1"/>
  <c r="AC222" i="5" s="1"/>
  <c r="AL235" i="8" s="1"/>
  <c r="T102" i="4" a="1"/>
  <c r="T102" i="4" s="1"/>
  <c r="AC266" i="5" s="1"/>
  <c r="AL274" i="8" s="1"/>
  <c r="T61" i="4" a="1"/>
  <c r="T61" i="4" s="1"/>
  <c r="AC262" i="5" s="1"/>
  <c r="AL271" i="8" s="1"/>
  <c r="T25" i="4" a="1"/>
  <c r="T25" i="4" s="1"/>
  <c r="AC252" i="5" s="1"/>
  <c r="AL262" i="8" s="1"/>
  <c r="AX262" i="8" s="1"/>
  <c r="N262" i="8" s="1"/>
  <c r="T137" i="4" a="1"/>
  <c r="T137" i="4" s="1"/>
  <c r="AC260" i="5" s="1"/>
  <c r="AL269" i="8" s="1"/>
  <c r="E133" i="4"/>
  <c r="F226" i="5" s="1"/>
  <c r="F253" i="4"/>
  <c r="F31" i="4"/>
  <c r="C315" i="4"/>
  <c r="C316" i="5" s="1"/>
  <c r="R318" i="8" s="1"/>
  <c r="C314" i="4"/>
  <c r="C313" i="5" s="1"/>
  <c r="R315" i="8" s="1"/>
  <c r="C309" i="4"/>
  <c r="C308" i="5" s="1"/>
  <c r="R310" i="8" s="1"/>
  <c r="C307" i="4"/>
  <c r="C317" i="5" s="1"/>
  <c r="R319" i="8" s="1"/>
  <c r="C316" i="4"/>
  <c r="C318" i="5" s="1"/>
  <c r="R320" i="8" s="1"/>
  <c r="I339" i="4"/>
  <c r="L319" i="5" s="1"/>
  <c r="I315" i="4"/>
  <c r="L316" i="5" s="1"/>
  <c r="I309" i="4"/>
  <c r="L308" i="5" s="1"/>
  <c r="I307" i="4"/>
  <c r="L317" i="5" s="1"/>
  <c r="I316" i="4"/>
  <c r="L318" i="5" s="1"/>
  <c r="I347" i="4"/>
  <c r="L336" i="5" s="1"/>
  <c r="T277" i="4" a="1"/>
  <c r="T277" i="4" s="1"/>
  <c r="AC301" i="5" s="1"/>
  <c r="T178" i="4" a="1"/>
  <c r="T178" i="4" s="1"/>
  <c r="AC85" i="5" s="1"/>
  <c r="AL114" i="8" s="1"/>
  <c r="T236" i="4" a="1"/>
  <c r="T236" i="4" s="1"/>
  <c r="AC95" i="5" s="1"/>
  <c r="AL124" i="8" s="1"/>
  <c r="T242" i="4" a="1"/>
  <c r="T242" i="4" s="1"/>
  <c r="AC146" i="5" s="1"/>
  <c r="AL171" i="8" s="1"/>
  <c r="T14" i="4" a="1"/>
  <c r="T14" i="4" s="1"/>
  <c r="AC180" i="5" s="1"/>
  <c r="AL15" i="8" s="1"/>
  <c r="AC89" i="8"/>
  <c r="AZ60" i="5"/>
  <c r="Z89" i="8"/>
  <c r="AW60" i="5"/>
  <c r="AG77" i="2"/>
  <c r="AI77" i="2"/>
  <c r="AR88" i="5"/>
  <c r="AF117" i="8"/>
  <c r="AR117" i="8" s="1"/>
  <c r="H117" i="8" s="1"/>
  <c r="W280" i="4"/>
  <c r="AG290" i="5" s="1"/>
  <c r="W7" i="4"/>
  <c r="AG176" i="5" s="1"/>
  <c r="W118" i="4"/>
  <c r="AG236" i="5" s="1"/>
  <c r="I133" i="4"/>
  <c r="S106" i="4"/>
  <c r="AA58" i="5" s="1"/>
  <c r="T130" i="4" a="1"/>
  <c r="T130" i="4" s="1"/>
  <c r="AC5" i="5" s="1"/>
  <c r="AL2" i="8" s="1"/>
  <c r="Y51" i="4"/>
  <c r="AJ39" i="5" s="1"/>
  <c r="C181" i="4"/>
  <c r="C10" i="5" s="1"/>
  <c r="O157" i="4"/>
  <c r="U212" i="5" s="1"/>
  <c r="H64" i="4"/>
  <c r="K3" i="5" s="1"/>
  <c r="M273" i="4"/>
  <c r="R51" i="5" s="1"/>
  <c r="T260" i="4" a="1"/>
  <c r="T260" i="4" s="1"/>
  <c r="AC46" i="5" s="1"/>
  <c r="AL77" i="8" s="1"/>
  <c r="T58" i="4" a="1"/>
  <c r="T58" i="4" s="1"/>
  <c r="AC41" i="5" s="1"/>
  <c r="AL72" i="8" s="1"/>
  <c r="U26" i="4" a="1"/>
  <c r="U26" i="4" s="1"/>
  <c r="AD49" i="5" s="1"/>
  <c r="L109" i="4"/>
  <c r="Q65" i="5" s="1"/>
  <c r="AH94" i="8" s="1"/>
  <c r="AT94" i="8" s="1"/>
  <c r="J94" i="8" s="1"/>
  <c r="AA94" i="8"/>
  <c r="AX65" i="5"/>
  <c r="X55" i="4"/>
  <c r="AI67" i="5" s="1"/>
  <c r="AN96" i="8" s="1"/>
  <c r="AZ96" i="8" s="1"/>
  <c r="M52" i="4"/>
  <c r="R40" i="5" s="1"/>
  <c r="U206" i="4" a="1"/>
  <c r="U206" i="4" s="1"/>
  <c r="AD71" i="5" s="1"/>
  <c r="Z236" i="4"/>
  <c r="AL95" i="5" s="1"/>
  <c r="T136" i="4" a="1"/>
  <c r="T136" i="4" s="1"/>
  <c r="AC84" i="5" s="1"/>
  <c r="AL113" i="8" s="1"/>
  <c r="Z94" i="4"/>
  <c r="AL120" i="5" s="1"/>
  <c r="D268" i="4"/>
  <c r="E100" i="5" s="1"/>
  <c r="L239" i="4"/>
  <c r="Q114" i="5" s="1"/>
  <c r="AH142" i="8" s="1"/>
  <c r="AT142" i="8" s="1"/>
  <c r="J142" i="8" s="1"/>
  <c r="M184" i="4"/>
  <c r="R132" i="5" s="1"/>
  <c r="O249" i="4"/>
  <c r="U99" i="5" s="1"/>
  <c r="H109" i="4"/>
  <c r="K65" i="5" s="1"/>
  <c r="Y144" i="4"/>
  <c r="AJ155" i="5" s="1"/>
  <c r="F237" i="4"/>
  <c r="H104" i="5" s="1"/>
  <c r="L296" i="4"/>
  <c r="Q156" i="5" s="1"/>
  <c r="AH180" i="8" s="1"/>
  <c r="AT180" i="8" s="1"/>
  <c r="J180" i="8" s="1"/>
  <c r="T249" i="4" a="1"/>
  <c r="T249" i="4" s="1"/>
  <c r="AC99" i="5" s="1"/>
  <c r="AL128" i="8" s="1"/>
  <c r="O186" i="4"/>
  <c r="U150" i="5" s="1"/>
  <c r="AA145" i="8"/>
  <c r="AA180" i="8"/>
  <c r="AY180" i="8" s="1"/>
  <c r="S242" i="4"/>
  <c r="AA146" i="5" s="1"/>
  <c r="H298" i="4"/>
  <c r="K124" i="5" s="1"/>
  <c r="U76" i="4" a="1"/>
  <c r="U76" i="4" s="1"/>
  <c r="AD115" i="5" s="1"/>
  <c r="C188" i="4"/>
  <c r="C152" i="5" s="1"/>
  <c r="H96" i="4"/>
  <c r="K122" i="5" s="1"/>
  <c r="T3" i="4" a="1"/>
  <c r="T3" i="4" s="1"/>
  <c r="AC118" i="5" s="1"/>
  <c r="AL146" i="8" s="1"/>
  <c r="AX146" i="8" s="1"/>
  <c r="N146" i="8" s="1"/>
  <c r="S114" i="4"/>
  <c r="AA138" i="5" s="1"/>
  <c r="L189" i="4"/>
  <c r="Q167" i="5" s="1"/>
  <c r="AH190" i="8" s="1"/>
  <c r="AT190" i="8" s="1"/>
  <c r="J190" i="8" s="1"/>
  <c r="U98" i="4" a="1"/>
  <c r="U98" i="4" s="1"/>
  <c r="AD163" i="5" s="1"/>
  <c r="T67" i="4" a="1"/>
  <c r="T67" i="4" s="1"/>
  <c r="AC164" i="5" s="1"/>
  <c r="AL187" i="8" s="1"/>
  <c r="T299" i="4" a="1"/>
  <c r="T299" i="4" s="1"/>
  <c r="AC154" i="5" s="1"/>
  <c r="AL178" i="8" s="1"/>
  <c r="AX178" i="8" s="1"/>
  <c r="N178" i="8" s="1"/>
  <c r="C16" i="4"/>
  <c r="C183" i="5" s="1"/>
  <c r="U242" i="4" a="1"/>
  <c r="U242" i="4" s="1"/>
  <c r="AD146" i="5" s="1"/>
  <c r="Y243" i="4"/>
  <c r="AJ193" i="5" s="1"/>
  <c r="S16" i="4"/>
  <c r="AA183" i="5" s="1"/>
  <c r="T128" i="4" a="1"/>
  <c r="T128" i="4" s="1"/>
  <c r="AC179" i="5" s="1"/>
  <c r="AL201" i="8" s="1"/>
  <c r="Y288" i="4"/>
  <c r="AJ214" i="5" s="1"/>
  <c r="C131" i="4"/>
  <c r="C199" i="5" s="1"/>
  <c r="H231" i="4"/>
  <c r="K221" i="5" s="1"/>
  <c r="AF234" i="8" s="1"/>
  <c r="AR234" i="8" s="1"/>
  <c r="H234" i="8" s="1"/>
  <c r="L165" i="4"/>
  <c r="Q245" i="5" s="1"/>
  <c r="AH256" i="8" s="1"/>
  <c r="AT256" i="8" s="1"/>
  <c r="J256" i="8" s="1"/>
  <c r="I159" i="4"/>
  <c r="L215" i="5" s="1"/>
  <c r="L85" i="4"/>
  <c r="Q224" i="5" s="1"/>
  <c r="AH237" i="8" s="1"/>
  <c r="AT237" i="8" s="1"/>
  <c r="J237" i="8" s="1"/>
  <c r="H117" i="4"/>
  <c r="K232" i="5" s="1"/>
  <c r="L158" i="4"/>
  <c r="Q258" i="5" s="1"/>
  <c r="AH267" i="8" s="1"/>
  <c r="AT267" i="8" s="1"/>
  <c r="J267" i="8" s="1"/>
  <c r="Z162" i="4"/>
  <c r="AL237" i="5" s="1"/>
  <c r="Q147" i="4"/>
  <c r="X293" i="5" s="1"/>
  <c r="C201" i="4"/>
  <c r="C249" i="5" s="1"/>
  <c r="O204" i="4"/>
  <c r="U251" i="5" s="1"/>
  <c r="U192" i="4" a="1"/>
  <c r="U192" i="4" s="1"/>
  <c r="AD285" i="5" s="1"/>
  <c r="H158" i="4"/>
  <c r="K258" i="5" s="1"/>
  <c r="U129" i="4" a="1"/>
  <c r="U129" i="4" s="1"/>
  <c r="AD283" i="5" s="1"/>
  <c r="Q75" i="4"/>
  <c r="X250" i="5" s="1"/>
  <c r="M176" i="4"/>
  <c r="R267" i="5" s="1"/>
  <c r="X63" i="4"/>
  <c r="AI270" i="5" s="1"/>
  <c r="AN278" i="8" s="1"/>
  <c r="AZ278" i="8" s="1"/>
  <c r="P278" i="8" s="1"/>
  <c r="D63" i="4"/>
  <c r="E270" i="5" s="1"/>
  <c r="AD278" i="8" s="1"/>
  <c r="T176" i="4" a="1"/>
  <c r="T176" i="4" s="1"/>
  <c r="AC267" i="5" s="1"/>
  <c r="AL275" i="8" s="1"/>
  <c r="U167" i="4" a="1"/>
  <c r="U167" i="4" s="1"/>
  <c r="AD247" i="5" s="1"/>
  <c r="V344" i="4"/>
  <c r="AF338" i="5" s="1"/>
  <c r="U219" i="4" a="1"/>
  <c r="U219" i="4" s="1"/>
  <c r="AD265" i="5" s="1"/>
  <c r="L336" i="4"/>
  <c r="Q346" i="5" s="1"/>
  <c r="AH346" i="8" s="1"/>
  <c r="AT346" i="8" s="1"/>
  <c r="J346" i="8" s="1"/>
  <c r="Q365" i="4"/>
  <c r="X365" i="5" s="1"/>
  <c r="L405" i="4"/>
  <c r="Q410" i="5" s="1"/>
  <c r="I152" i="4"/>
  <c r="L205" i="5" s="1"/>
  <c r="I151" i="4"/>
  <c r="AG81" i="2"/>
  <c r="AI81" i="2"/>
  <c r="AR107" i="5"/>
  <c r="AF136" i="8"/>
  <c r="AR136" i="8" s="1"/>
  <c r="X210" i="8"/>
  <c r="AU191" i="5"/>
  <c r="I303" i="4"/>
  <c r="L303" i="5" s="1"/>
  <c r="I331" i="4"/>
  <c r="L348" i="5" s="1"/>
  <c r="Y195" i="4"/>
  <c r="AJ228" i="5" s="1"/>
  <c r="Y133" i="4"/>
  <c r="AJ226" i="5" s="1"/>
  <c r="Y231" i="4"/>
  <c r="AJ221" i="5" s="1"/>
  <c r="E239" i="4"/>
  <c r="E225" i="4"/>
  <c r="E203" i="4"/>
  <c r="I13" i="4"/>
  <c r="L142" i="5" s="1"/>
  <c r="I27" i="4"/>
  <c r="L264" i="5" s="1"/>
  <c r="I286" i="4"/>
  <c r="I290" i="4"/>
  <c r="I293" i="4"/>
  <c r="I63" i="4"/>
  <c r="I77" i="4"/>
  <c r="I284" i="4"/>
  <c r="I285" i="4"/>
  <c r="I241" i="4"/>
  <c r="I278" i="4"/>
  <c r="BF87" i="2"/>
  <c r="BF88" i="2"/>
  <c r="AP312" i="8"/>
  <c r="F312" i="8" s="1"/>
  <c r="X252" i="8"/>
  <c r="AU241" i="5"/>
  <c r="F184" i="4"/>
  <c r="H132" i="5" s="1"/>
  <c r="F176" i="4"/>
  <c r="F209" i="4"/>
  <c r="F182" i="4"/>
  <c r="F120" i="4"/>
  <c r="F219" i="4"/>
  <c r="F127" i="4"/>
  <c r="F137" i="4"/>
  <c r="F236" i="4"/>
  <c r="F240" i="4"/>
  <c r="F181" i="4"/>
  <c r="Y317" i="4"/>
  <c r="AJ305" i="5" s="1"/>
  <c r="Y320" i="4"/>
  <c r="AJ320" i="5" s="1"/>
  <c r="Y325" i="4"/>
  <c r="AJ328" i="5" s="1"/>
  <c r="Y342" i="4"/>
  <c r="AJ334" i="5" s="1"/>
  <c r="Y319" i="4"/>
  <c r="AJ329" i="5" s="1"/>
  <c r="Y329" i="4"/>
  <c r="AJ345" i="5" s="1"/>
  <c r="Y336" i="4"/>
  <c r="AJ346" i="5" s="1"/>
  <c r="Y341" i="4"/>
  <c r="AJ333" i="5" s="1"/>
  <c r="Y321" i="4"/>
  <c r="AJ324" i="5" s="1"/>
  <c r="Y334" i="4"/>
  <c r="AJ322" i="5" s="1"/>
  <c r="Y348" i="4"/>
  <c r="AJ351" i="5" s="1"/>
  <c r="Y322" i="4"/>
  <c r="AJ325" i="5" s="1"/>
  <c r="P216" i="4"/>
  <c r="W223" i="5" s="1"/>
  <c r="P119" i="4"/>
  <c r="W241" i="5" s="1"/>
  <c r="Z285" i="4"/>
  <c r="AL107" i="5" s="1"/>
  <c r="Z284" i="4"/>
  <c r="AL106" i="5" s="1"/>
  <c r="Z77" i="4"/>
  <c r="AL119" i="5" s="1"/>
  <c r="Z286" i="4"/>
  <c r="AL108" i="5" s="1"/>
  <c r="Z290" i="4"/>
  <c r="AL140" i="5" s="1"/>
  <c r="Z241" i="4"/>
  <c r="AL128" i="5" s="1"/>
  <c r="Z13" i="4"/>
  <c r="AL142" i="5" s="1"/>
  <c r="Z63" i="4"/>
  <c r="AL270" i="5" s="1"/>
  <c r="S302" i="4"/>
  <c r="AA77" i="5" s="1"/>
  <c r="S174" i="4"/>
  <c r="AA79" i="5" s="1"/>
  <c r="S173" i="4"/>
  <c r="AA78" i="5" s="1"/>
  <c r="S24" i="4"/>
  <c r="AA182" i="5" s="1"/>
  <c r="S14" i="4"/>
  <c r="AA180" i="5" s="1"/>
  <c r="S18" i="4"/>
  <c r="AA185" i="5" s="1"/>
  <c r="R190" i="4"/>
  <c r="R191" i="4"/>
  <c r="R129" i="4"/>
  <c r="X310" i="4"/>
  <c r="AI309" i="5" s="1"/>
  <c r="AN311" i="8" s="1"/>
  <c r="AZ311" i="8" s="1"/>
  <c r="P311" i="8" s="1"/>
  <c r="X312" i="4"/>
  <c r="AI311" i="5" s="1"/>
  <c r="AN313" i="8" s="1"/>
  <c r="AZ313" i="8" s="1"/>
  <c r="P313" i="8" s="1"/>
  <c r="X313" i="4"/>
  <c r="AI312" i="5" s="1"/>
  <c r="AN314" i="8" s="1"/>
  <c r="AZ314" i="8" s="1"/>
  <c r="P314" i="8" s="1"/>
  <c r="X349" i="4"/>
  <c r="AI335" i="5" s="1"/>
  <c r="AN335" i="8" s="1"/>
  <c r="AZ335" i="8" s="1"/>
  <c r="P335" i="8" s="1"/>
  <c r="BJ91" i="2"/>
  <c r="BJ90" i="2"/>
  <c r="M196" i="4"/>
  <c r="R8" i="5" s="1"/>
  <c r="M266" i="4"/>
  <c r="R7" i="5" s="1"/>
  <c r="M202" i="4"/>
  <c r="R36" i="5" s="1"/>
  <c r="M121" i="4"/>
  <c r="R113" i="5" s="1"/>
  <c r="M238" i="4"/>
  <c r="R105" i="5" s="1"/>
  <c r="M94" i="4"/>
  <c r="R120" i="5" s="1"/>
  <c r="M247" i="4"/>
  <c r="R231" i="5" s="1"/>
  <c r="E365" i="4"/>
  <c r="E367" i="4"/>
  <c r="E358" i="4"/>
  <c r="E369" i="4"/>
  <c r="E370" i="4"/>
  <c r="E360" i="4"/>
  <c r="E356" i="4"/>
  <c r="E366" i="4"/>
  <c r="E368" i="4"/>
  <c r="Z265" i="4"/>
  <c r="AL6" i="5" s="1"/>
  <c r="Z221" i="4"/>
  <c r="AL80" i="5" s="1"/>
  <c r="Z11" i="4"/>
  <c r="AL255" i="5" s="1"/>
  <c r="Z112" i="4"/>
  <c r="AL274" i="5" s="1"/>
  <c r="Z279" i="4"/>
  <c r="AL286" i="5" s="1"/>
  <c r="Z263" i="4"/>
  <c r="AL289" i="5" s="1"/>
  <c r="Q101" i="4"/>
  <c r="X35" i="5" s="1"/>
  <c r="Q178" i="4"/>
  <c r="X85" i="5" s="1"/>
  <c r="Q175" i="4"/>
  <c r="X81" i="5" s="1"/>
  <c r="Q136" i="4"/>
  <c r="X84" i="5" s="1"/>
  <c r="Q177" i="4"/>
  <c r="X83" i="5" s="1"/>
  <c r="Q138" i="4"/>
  <c r="X86" i="5" s="1"/>
  <c r="Q76" i="4"/>
  <c r="X115" i="5" s="1"/>
  <c r="Q25" i="4"/>
  <c r="X252" i="5" s="1"/>
  <c r="Q235" i="4"/>
  <c r="X253" i="5" s="1"/>
  <c r="T372" i="4"/>
  <c r="AC356" i="5" s="1"/>
  <c r="AL355" i="8" s="1"/>
  <c r="AX355" i="8" s="1"/>
  <c r="N355" i="8" s="1"/>
  <c r="T352" i="4"/>
  <c r="AC358" i="5" s="1"/>
  <c r="AL357" i="8" s="1"/>
  <c r="T353" i="4"/>
  <c r="AC360" i="5" s="1"/>
  <c r="AL359" i="8" s="1"/>
  <c r="AX359" i="8" s="1"/>
  <c r="N359" i="8" s="1"/>
  <c r="T363" i="4"/>
  <c r="AC372" i="5" s="1"/>
  <c r="AL369" i="8" s="1"/>
  <c r="T362" i="4"/>
  <c r="AC373" i="5" s="1"/>
  <c r="AL370" i="8" s="1"/>
  <c r="T357" i="4"/>
  <c r="AC361" i="5" s="1"/>
  <c r="AL360" i="8" s="1"/>
  <c r="T361" i="4"/>
  <c r="AC371" i="5" s="1"/>
  <c r="AL368" i="8" s="1"/>
  <c r="T371" i="4"/>
  <c r="AC355" i="5" s="1"/>
  <c r="AL354" i="8" s="1"/>
  <c r="T373" i="4"/>
  <c r="AC357" i="5" s="1"/>
  <c r="AL356" i="8" s="1"/>
  <c r="AX356" i="8" s="1"/>
  <c r="N356" i="8" s="1"/>
  <c r="T364" i="4"/>
  <c r="AC359" i="5" s="1"/>
  <c r="AL358" i="8" s="1"/>
  <c r="BF94" i="2"/>
  <c r="BF93" i="2"/>
  <c r="T359" i="4"/>
  <c r="AC363" i="5" s="1"/>
  <c r="AL361" i="8" s="1"/>
  <c r="T355" i="4"/>
  <c r="AC362" i="5" s="1"/>
  <c r="AL33" i="8" s="1"/>
  <c r="P141" i="4"/>
  <c r="W123" i="5" s="1"/>
  <c r="AJ9" i="8" s="1"/>
  <c r="P144" i="4"/>
  <c r="W155" i="5" s="1"/>
  <c r="AJ179" i="8" s="1"/>
  <c r="P160" i="4"/>
  <c r="W216" i="5" s="1"/>
  <c r="AJ229" i="8" s="1"/>
  <c r="AV229" i="8" s="1"/>
  <c r="P161" i="4"/>
  <c r="W217" i="5" s="1"/>
  <c r="AJ230" i="8" s="1"/>
  <c r="J8" i="4"/>
  <c r="N177" i="5" s="1"/>
  <c r="J42" i="4"/>
  <c r="J43" i="4"/>
  <c r="J44" i="4"/>
  <c r="BH84" i="2"/>
  <c r="BH85" i="2"/>
  <c r="Z149" i="4"/>
  <c r="AL201" i="5" s="1"/>
  <c r="Z128" i="4"/>
  <c r="AL179" i="5" s="1"/>
  <c r="Z146" i="4"/>
  <c r="AL284" i="5" s="1"/>
  <c r="Z192" i="4"/>
  <c r="AL285" i="5" s="1"/>
  <c r="E205" i="4"/>
  <c r="E272" i="4"/>
  <c r="E233" i="4"/>
  <c r="E234" i="4"/>
  <c r="M366" i="4"/>
  <c r="R367" i="5" s="1"/>
  <c r="M370" i="4"/>
  <c r="R354" i="5" s="1"/>
  <c r="M360" i="4"/>
  <c r="R364" i="5" s="1"/>
  <c r="M358" i="4"/>
  <c r="R352" i="5" s="1"/>
  <c r="M369" i="4"/>
  <c r="R353" i="5" s="1"/>
  <c r="M367" i="4"/>
  <c r="R368" i="5" s="1"/>
  <c r="M368" i="4"/>
  <c r="R369" i="5" s="1"/>
  <c r="M365" i="4"/>
  <c r="R365" i="5" s="1"/>
  <c r="X266" i="4"/>
  <c r="AI7" i="5" s="1"/>
  <c r="AN43" i="8" s="1"/>
  <c r="AZ43" i="8" s="1"/>
  <c r="P43" i="8" s="1"/>
  <c r="X202" i="4"/>
  <c r="AI36" i="5" s="1"/>
  <c r="AN67" i="8" s="1"/>
  <c r="X196" i="4"/>
  <c r="AI8" i="5" s="1"/>
  <c r="AN44" i="8" s="1"/>
  <c r="X238" i="4"/>
  <c r="AI105" i="5" s="1"/>
  <c r="AN134" i="8" s="1"/>
  <c r="AZ134" i="8" s="1"/>
  <c r="X121" i="4"/>
  <c r="AI113" i="5" s="1"/>
  <c r="AN8" i="8" s="1"/>
  <c r="X251" i="4"/>
  <c r="AI280" i="5" s="1"/>
  <c r="AN287" i="8" s="1"/>
  <c r="AZ287" i="8" s="1"/>
  <c r="P287" i="8" s="1"/>
  <c r="E297" i="4"/>
  <c r="F272" i="5" s="1"/>
  <c r="E405" i="4"/>
  <c r="E411" i="4"/>
  <c r="E111" i="4"/>
  <c r="BA91" i="5"/>
  <c r="AO120" i="8"/>
  <c r="BG87" i="2"/>
  <c r="BG88" i="2"/>
  <c r="R3" i="4"/>
  <c r="Z118" i="5" s="1"/>
  <c r="R26" i="4"/>
  <c r="R166" i="4"/>
  <c r="R402" i="4"/>
  <c r="Z412" i="5" s="1"/>
  <c r="R50" i="4"/>
  <c r="R124" i="4"/>
  <c r="R78" i="4"/>
  <c r="R58" i="4"/>
  <c r="R168" i="4"/>
  <c r="R36" i="4"/>
  <c r="R54" i="4"/>
  <c r="R51" i="4"/>
  <c r="R165" i="4"/>
  <c r="R167" i="4"/>
  <c r="R52" i="4"/>
  <c r="Q237" i="4"/>
  <c r="X104" i="5" s="1"/>
  <c r="Q228" i="4"/>
  <c r="X218" i="5" s="1"/>
  <c r="BC87" i="2"/>
  <c r="BC88" i="2"/>
  <c r="AC31" i="2"/>
  <c r="AP202" i="5"/>
  <c r="AD220" i="8"/>
  <c r="AP220" i="8" s="1"/>
  <c r="D36" i="4"/>
  <c r="E42" i="5" s="1"/>
  <c r="D50" i="4"/>
  <c r="E38" i="5" s="1"/>
  <c r="D52" i="4"/>
  <c r="E40" i="5" s="1"/>
  <c r="D26" i="4"/>
  <c r="E49" i="5" s="1"/>
  <c r="D54" i="4"/>
  <c r="E47" i="5" s="1"/>
  <c r="D58" i="4"/>
  <c r="E41" i="5" s="1"/>
  <c r="D78" i="4"/>
  <c r="E121" i="5" s="1"/>
  <c r="D3" i="4"/>
  <c r="E118" i="5" s="1"/>
  <c r="D168" i="4"/>
  <c r="E248" i="5" s="1"/>
  <c r="D166" i="4"/>
  <c r="E246" i="5" s="1"/>
  <c r="D165" i="4"/>
  <c r="E245" i="5" s="1"/>
  <c r="D124" i="4"/>
  <c r="E276" i="5" s="1"/>
  <c r="Y222" i="8"/>
  <c r="AV207" i="5"/>
  <c r="C43" i="4"/>
  <c r="C17" i="5" s="1"/>
  <c r="C42" i="4"/>
  <c r="C16" i="5" s="1"/>
  <c r="C32" i="4"/>
  <c r="C129" i="5" s="1"/>
  <c r="C6" i="4"/>
  <c r="C175" i="5" s="1"/>
  <c r="R197" i="8" s="1"/>
  <c r="C8" i="4"/>
  <c r="C177" i="5" s="1"/>
  <c r="R199" i="8" s="1"/>
  <c r="C30" i="4"/>
  <c r="C275" i="5" s="1"/>
  <c r="R283" i="8" s="1"/>
  <c r="C260" i="4"/>
  <c r="C46" i="5" s="1"/>
  <c r="C206" i="4"/>
  <c r="C71" i="5" s="1"/>
  <c r="C172" i="4"/>
  <c r="C70" i="5" s="1"/>
  <c r="C37" i="4"/>
  <c r="C62" i="5" s="1"/>
  <c r="C170" i="4"/>
  <c r="C68" i="5" s="1"/>
  <c r="C261" i="4"/>
  <c r="C96" i="5" s="1"/>
  <c r="C295" i="4"/>
  <c r="C98" i="5" s="1"/>
  <c r="C126" i="4"/>
  <c r="C162" i="5" s="1"/>
  <c r="C199" i="4"/>
  <c r="C243" i="5" s="1"/>
  <c r="C41" i="4"/>
  <c r="C279" i="5" s="1"/>
  <c r="J277" i="4"/>
  <c r="N301" i="5" s="1"/>
  <c r="AS301" i="5" s="1"/>
  <c r="J169" i="4"/>
  <c r="N54" i="5" s="1"/>
  <c r="J90" i="4"/>
  <c r="J65" i="4"/>
  <c r="N148" i="5" s="1"/>
  <c r="J198" i="4"/>
  <c r="J100" i="4"/>
  <c r="J93" i="4"/>
  <c r="J197" i="4"/>
  <c r="J162" i="4"/>
  <c r="J143" i="4"/>
  <c r="J92" i="4"/>
  <c r="J145" i="4"/>
  <c r="J118" i="4"/>
  <c r="J139" i="4"/>
  <c r="J227" i="4"/>
  <c r="J98" i="4"/>
  <c r="J189" i="4"/>
  <c r="Y312" i="4"/>
  <c r="AJ311" i="5" s="1"/>
  <c r="Y313" i="4"/>
  <c r="AJ312" i="5" s="1"/>
  <c r="Y310" i="4"/>
  <c r="AJ309" i="5" s="1"/>
  <c r="Y349" i="4"/>
  <c r="AJ335" i="5" s="1"/>
  <c r="BK91" i="2"/>
  <c r="BK90" i="2"/>
  <c r="C265" i="4"/>
  <c r="C6" i="5" s="1"/>
  <c r="C221" i="4"/>
  <c r="C80" i="5" s="1"/>
  <c r="R109" i="8" s="1"/>
  <c r="C11" i="4"/>
  <c r="C255" i="5" s="1"/>
  <c r="C263" i="4"/>
  <c r="C289" i="5" s="1"/>
  <c r="R296" i="8" s="1"/>
  <c r="C287" i="4"/>
  <c r="C287" i="5" s="1"/>
  <c r="C279" i="4"/>
  <c r="C286" i="5" s="1"/>
  <c r="Q220" i="4"/>
  <c r="X9" i="5" s="1"/>
  <c r="Q208" i="4"/>
  <c r="X75" i="5" s="1"/>
  <c r="P36" i="4"/>
  <c r="W42" i="5" s="1"/>
  <c r="AJ73" i="8" s="1"/>
  <c r="AV73" i="8" s="1"/>
  <c r="P50" i="4"/>
  <c r="W38" i="5" s="1"/>
  <c r="AJ69" i="8" s="1"/>
  <c r="AV69" i="8" s="1"/>
  <c r="L69" i="8" s="1"/>
  <c r="P52" i="4"/>
  <c r="W40" i="5" s="1"/>
  <c r="AJ71" i="8" s="1"/>
  <c r="AV71" i="8" s="1"/>
  <c r="L71" i="8" s="1"/>
  <c r="P26" i="4"/>
  <c r="W49" i="5" s="1"/>
  <c r="AJ7" i="8" s="1"/>
  <c r="P54" i="4"/>
  <c r="W47" i="5" s="1"/>
  <c r="AJ78" i="8" s="1"/>
  <c r="P58" i="4"/>
  <c r="W41" i="5" s="1"/>
  <c r="AJ72" i="8" s="1"/>
  <c r="AV72" i="8" s="1"/>
  <c r="L72" i="8" s="1"/>
  <c r="P3" i="4"/>
  <c r="W118" i="5" s="1"/>
  <c r="AJ146" i="8" s="1"/>
  <c r="AV146" i="8" s="1"/>
  <c r="L146" i="8" s="1"/>
  <c r="P165" i="4"/>
  <c r="W245" i="5" s="1"/>
  <c r="AJ256" i="8" s="1"/>
  <c r="AV256" i="8" s="1"/>
  <c r="L256" i="8" s="1"/>
  <c r="P168" i="4"/>
  <c r="W248" i="5" s="1"/>
  <c r="AJ25" i="8" s="1"/>
  <c r="AV25" i="8" s="1"/>
  <c r="L25" i="8" s="1"/>
  <c r="P166" i="4"/>
  <c r="W246" i="5" s="1"/>
  <c r="AJ257" i="8" s="1"/>
  <c r="AV257" i="8" s="1"/>
  <c r="L257" i="8" s="1"/>
  <c r="P124" i="4"/>
  <c r="W276" i="5" s="1"/>
  <c r="AJ284" i="8" s="1"/>
  <c r="AV284" i="8" s="1"/>
  <c r="L284" i="8" s="1"/>
  <c r="P402" i="4"/>
  <c r="W412" i="5" s="1"/>
  <c r="AJ403" i="8" s="1"/>
  <c r="AV403" i="8" s="1"/>
  <c r="L403" i="8" s="1"/>
  <c r="Z144" i="4"/>
  <c r="AL155" i="5" s="1"/>
  <c r="Z161" i="4"/>
  <c r="AL217" i="5" s="1"/>
  <c r="Z95" i="4"/>
  <c r="AL273" i="5" s="1"/>
  <c r="D188" i="4"/>
  <c r="E152" i="5" s="1"/>
  <c r="AD176" i="8" s="1"/>
  <c r="D149" i="4"/>
  <c r="E201" i="5" s="1"/>
  <c r="D117" i="4"/>
  <c r="E232" i="5" s="1"/>
  <c r="D146" i="4"/>
  <c r="E284" i="5" s="1"/>
  <c r="D192" i="4"/>
  <c r="E285" i="5" s="1"/>
  <c r="O101" i="4"/>
  <c r="U35" i="5" s="1"/>
  <c r="O177" i="4"/>
  <c r="U83" i="5" s="1"/>
  <c r="O175" i="4"/>
  <c r="U81" i="5" s="1"/>
  <c r="O178" i="4"/>
  <c r="U85" i="5" s="1"/>
  <c r="AU58" i="5"/>
  <c r="X87" i="8"/>
  <c r="X304" i="8"/>
  <c r="AV304" i="8" s="1"/>
  <c r="AU298" i="5"/>
  <c r="X84" i="8"/>
  <c r="AV84" i="8" s="1"/>
  <c r="AU55" i="5"/>
  <c r="L128" i="4"/>
  <c r="Q179" i="5" s="1"/>
  <c r="AH201" i="8" s="1"/>
  <c r="AT201" i="8" s="1"/>
  <c r="J201" i="8" s="1"/>
  <c r="L149" i="4"/>
  <c r="Q201" i="5" s="1"/>
  <c r="AH219" i="8" s="1"/>
  <c r="AT219" i="8" s="1"/>
  <c r="J219" i="8" s="1"/>
  <c r="L146" i="4"/>
  <c r="Q284" i="5" s="1"/>
  <c r="AH291" i="8" s="1"/>
  <c r="AT291" i="8" s="1"/>
  <c r="J291" i="8" s="1"/>
  <c r="L192" i="4"/>
  <c r="Q285" i="5" s="1"/>
  <c r="AH292" i="8" s="1"/>
  <c r="AT292" i="8" s="1"/>
  <c r="J292" i="8" s="1"/>
  <c r="X69" i="4"/>
  <c r="AI170" i="5" s="1"/>
  <c r="AN193" i="8" s="1"/>
  <c r="AZ193" i="8" s="1"/>
  <c r="P193" i="8" s="1"/>
  <c r="X410" i="4"/>
  <c r="AI404" i="5" s="1"/>
  <c r="AN396" i="8" s="1"/>
  <c r="AZ396" i="8" s="1"/>
  <c r="P396" i="8" s="1"/>
  <c r="X392" i="4"/>
  <c r="AI413" i="5" s="1"/>
  <c r="AN404" i="8" s="1"/>
  <c r="AZ404" i="8" s="1"/>
  <c r="P404" i="8" s="1"/>
  <c r="X207" i="4"/>
  <c r="AI72" i="5" s="1"/>
  <c r="AN101" i="8" s="1"/>
  <c r="AZ101" i="8" s="1"/>
  <c r="P101" i="8" s="1"/>
  <c r="X135" i="4"/>
  <c r="AI74" i="5" s="1"/>
  <c r="AN103" i="8" s="1"/>
  <c r="AZ103" i="8" s="1"/>
  <c r="X35" i="4"/>
  <c r="AI173" i="5" s="1"/>
  <c r="AN195" i="8" s="1"/>
  <c r="AZ195" i="8" s="1"/>
  <c r="P195" i="8" s="1"/>
  <c r="X397" i="4"/>
  <c r="AI399" i="5" s="1"/>
  <c r="AN392" i="8" s="1"/>
  <c r="AZ392" i="8" s="1"/>
  <c r="P392" i="8" s="1"/>
  <c r="X408" i="4"/>
  <c r="AI401" i="5" s="1"/>
  <c r="AN37" i="8" s="1"/>
  <c r="AZ37" i="8" s="1"/>
  <c r="P37" i="8" s="1"/>
  <c r="X406" i="4"/>
  <c r="AI416" i="5" s="1"/>
  <c r="X416" i="4"/>
  <c r="AI400" i="5" s="1"/>
  <c r="AN393" i="8" s="1"/>
  <c r="AZ393" i="8" s="1"/>
  <c r="P393" i="8" s="1"/>
  <c r="X130" i="4"/>
  <c r="AI5" i="5" s="1"/>
  <c r="AN2" i="8" s="1"/>
  <c r="X22" i="4"/>
  <c r="AI12" i="5" s="1"/>
  <c r="AN3" i="8" s="1"/>
  <c r="AZ3" i="8" s="1"/>
  <c r="X262" i="4"/>
  <c r="AI4" i="5" s="1"/>
  <c r="AN41" i="8" s="1"/>
  <c r="AZ41" i="8" s="1"/>
  <c r="P41" i="8" s="1"/>
  <c r="X59" i="4"/>
  <c r="AI45" i="5" s="1"/>
  <c r="AN76" i="8" s="1"/>
  <c r="AZ76" i="8" s="1"/>
  <c r="X299" i="4"/>
  <c r="AI154" i="5" s="1"/>
  <c r="AN178" i="8" s="1"/>
  <c r="AZ178" i="8" s="1"/>
  <c r="P178" i="8" s="1"/>
  <c r="X404" i="4"/>
  <c r="AI394" i="5" s="1"/>
  <c r="AN387" i="8" s="1"/>
  <c r="AZ387" i="8" s="1"/>
  <c r="P387" i="8" s="1"/>
  <c r="X394" i="4"/>
  <c r="AI396" i="5" s="1"/>
  <c r="AN389" i="8" s="1"/>
  <c r="AZ389" i="8" s="1"/>
  <c r="P389" i="8" s="1"/>
  <c r="X396" i="4"/>
  <c r="AI398" i="5" s="1"/>
  <c r="AN391" i="8" s="1"/>
  <c r="AZ391" i="8" s="1"/>
  <c r="P391" i="8" s="1"/>
  <c r="X400" i="4"/>
  <c r="AI407" i="5" s="1"/>
  <c r="AN38" i="8" s="1"/>
  <c r="AZ38" i="8" s="1"/>
  <c r="P38" i="8" s="1"/>
  <c r="X399" i="4"/>
  <c r="AI406" i="5" s="1"/>
  <c r="AN398" i="8" s="1"/>
  <c r="AZ398" i="8" s="1"/>
  <c r="P398" i="8" s="1"/>
  <c r="X395" i="4"/>
  <c r="AI397" i="5" s="1"/>
  <c r="AN390" i="8" s="1"/>
  <c r="AZ390" i="8" s="1"/>
  <c r="P390" i="8" s="1"/>
  <c r="D277" i="4"/>
  <c r="E301" i="5" s="1"/>
  <c r="AP301" i="5" s="1"/>
  <c r="D169" i="4"/>
  <c r="E54" i="5" s="1"/>
  <c r="D90" i="4"/>
  <c r="E82" i="5" s="1"/>
  <c r="D91" i="4"/>
  <c r="E92" i="5" s="1"/>
  <c r="R141" i="4"/>
  <c r="R144" i="4"/>
  <c r="R159" i="4"/>
  <c r="R95" i="4"/>
  <c r="R160" i="4"/>
  <c r="R161" i="4"/>
  <c r="I46" i="4"/>
  <c r="I49" i="4"/>
  <c r="I47" i="4"/>
  <c r="I48" i="4"/>
  <c r="I183" i="4"/>
  <c r="I45" i="4"/>
  <c r="I267" i="4"/>
  <c r="I97" i="4"/>
  <c r="I142" i="4"/>
  <c r="I269" i="4"/>
  <c r="Y101" i="4"/>
  <c r="AJ35" i="5" s="1"/>
  <c r="Y177" i="4"/>
  <c r="AJ83" i="5" s="1"/>
  <c r="Y175" i="4"/>
  <c r="AJ81" i="5" s="1"/>
  <c r="Y178" i="4"/>
  <c r="AJ85" i="5" s="1"/>
  <c r="Y138" i="4"/>
  <c r="AJ86" i="5" s="1"/>
  <c r="Y136" i="4"/>
  <c r="AJ84" i="5" s="1"/>
  <c r="Y76" i="4"/>
  <c r="AJ115" i="5" s="1"/>
  <c r="Y25" i="4"/>
  <c r="AJ252" i="5" s="1"/>
  <c r="Y207" i="4"/>
  <c r="AJ72" i="5" s="1"/>
  <c r="Y135" i="4"/>
  <c r="AJ74" i="5" s="1"/>
  <c r="Y35" i="4"/>
  <c r="AJ173" i="5" s="1"/>
  <c r="Y416" i="4"/>
  <c r="AJ400" i="5" s="1"/>
  <c r="Y408" i="4"/>
  <c r="AJ401" i="5" s="1"/>
  <c r="Y406" i="4"/>
  <c r="AJ416" i="5" s="1"/>
  <c r="Y397" i="4"/>
  <c r="AJ399" i="5" s="1"/>
  <c r="Y106" i="4"/>
  <c r="AJ58" i="5" s="1"/>
  <c r="Y105" i="4"/>
  <c r="AJ57" i="5" s="1"/>
  <c r="AC126" i="8"/>
  <c r="AZ97" i="5"/>
  <c r="AW84" i="2"/>
  <c r="AW85" i="2"/>
  <c r="H93" i="4"/>
  <c r="K112" i="5" s="1"/>
  <c r="H143" i="4"/>
  <c r="K126" i="5" s="1"/>
  <c r="H139" i="4"/>
  <c r="K110" i="5" s="1"/>
  <c r="H92" i="4"/>
  <c r="K111" i="5" s="1"/>
  <c r="H145" i="4"/>
  <c r="K178" i="5" s="1"/>
  <c r="H267" i="4"/>
  <c r="K73" i="5" s="1"/>
  <c r="H97" i="4"/>
  <c r="K130" i="5" s="1"/>
  <c r="H142" i="4"/>
  <c r="K125" i="5" s="1"/>
  <c r="AF62" i="8"/>
  <c r="AR62" i="8" s="1"/>
  <c r="H62" i="8" s="1"/>
  <c r="AR30" i="5"/>
  <c r="AF75" i="8"/>
  <c r="AR75" i="8" s="1"/>
  <c r="H75" i="8" s="1"/>
  <c r="AI8" i="2"/>
  <c r="AR44" i="5"/>
  <c r="AG8" i="2"/>
  <c r="AF8" i="2"/>
  <c r="H4" i="4"/>
  <c r="AT85" i="2"/>
  <c r="AT84" i="2"/>
  <c r="S151" i="4"/>
  <c r="AA204" i="5" s="1"/>
  <c r="S152" i="4"/>
  <c r="AA205" i="5" s="1"/>
  <c r="S43" i="4"/>
  <c r="AA17" i="5" s="1"/>
  <c r="S42" i="4"/>
  <c r="AA16" i="5" s="1"/>
  <c r="S44" i="4"/>
  <c r="AA18" i="5" s="1"/>
  <c r="S33" i="4"/>
  <c r="AA137" i="5" s="1"/>
  <c r="Z280" i="8"/>
  <c r="AW272" i="5"/>
  <c r="S170" i="4"/>
  <c r="AA68" i="5" s="1"/>
  <c r="S41" i="4"/>
  <c r="AA279" i="5" s="1"/>
  <c r="Z175" i="8"/>
  <c r="AW151" i="5"/>
  <c r="AI283" i="8"/>
  <c r="AU275" i="5"/>
  <c r="N172" i="4"/>
  <c r="T70" i="5" s="1"/>
  <c r="AI99" i="8" s="1"/>
  <c r="N41" i="4"/>
  <c r="T279" i="5" s="1"/>
  <c r="AI28" i="8" s="1"/>
  <c r="N125" i="4"/>
  <c r="T278" i="5" s="1"/>
  <c r="N393" i="4"/>
  <c r="D212" i="4"/>
  <c r="E23" i="5" s="1"/>
  <c r="D210" i="4"/>
  <c r="E21" i="5" s="1"/>
  <c r="D148" i="4"/>
  <c r="E200" i="5" s="1"/>
  <c r="L53" i="4"/>
  <c r="Q43" i="5" s="1"/>
  <c r="AH74" i="8" s="1"/>
  <c r="AT74" i="8" s="1"/>
  <c r="J74" i="8" s="1"/>
  <c r="L23" i="4"/>
  <c r="Q13" i="5" s="1"/>
  <c r="AH48" i="8" s="1"/>
  <c r="AT48" i="8" s="1"/>
  <c r="J48" i="8" s="1"/>
  <c r="L412" i="4"/>
  <c r="Q402" i="5" s="1"/>
  <c r="L403" i="4"/>
  <c r="Q393" i="5" s="1"/>
  <c r="AS385" i="5"/>
  <c r="AK74" i="2"/>
  <c r="H284" i="4"/>
  <c r="K106" i="5" s="1"/>
  <c r="H286" i="4"/>
  <c r="K108" i="5" s="1"/>
  <c r="H290" i="4"/>
  <c r="K140" i="5" s="1"/>
  <c r="H241" i="4"/>
  <c r="K128" i="5" s="1"/>
  <c r="E173" i="4"/>
  <c r="F78" i="5" s="1"/>
  <c r="E302" i="4"/>
  <c r="F77" i="5" s="1"/>
  <c r="E174" i="4"/>
  <c r="F79" i="5" s="1"/>
  <c r="E14" i="4"/>
  <c r="F180" i="5" s="1"/>
  <c r="E18" i="4"/>
  <c r="F185" i="5" s="1"/>
  <c r="K381" i="4"/>
  <c r="O381" i="5" s="1"/>
  <c r="K380" i="4"/>
  <c r="O380" i="5" s="1"/>
  <c r="K383" i="4"/>
  <c r="O383" i="5" s="1"/>
  <c r="K379" i="4"/>
  <c r="O379" i="5" s="1"/>
  <c r="K382" i="4"/>
  <c r="O382" i="5" s="1"/>
  <c r="K376" i="4"/>
  <c r="O376" i="5" s="1"/>
  <c r="K377" i="4"/>
  <c r="O377" i="5" s="1"/>
  <c r="K375" i="4"/>
  <c r="O375" i="5" s="1"/>
  <c r="X127" i="4"/>
  <c r="AI171" i="5" s="1"/>
  <c r="AN194" i="8" s="1"/>
  <c r="AZ194" i="8" s="1"/>
  <c r="P194" i="8" s="1"/>
  <c r="X182" i="4"/>
  <c r="AI11" i="5" s="1"/>
  <c r="AN47" i="8" s="1"/>
  <c r="AZ47" i="8" s="1"/>
  <c r="X236" i="4"/>
  <c r="AI95" i="5" s="1"/>
  <c r="AN124" i="8" s="1"/>
  <c r="AZ124" i="8" s="1"/>
  <c r="P124" i="8" s="1"/>
  <c r="X219" i="4"/>
  <c r="AI265" i="5" s="1"/>
  <c r="AN27" i="8" s="1"/>
  <c r="AZ27" i="8" s="1"/>
  <c r="P27" i="8" s="1"/>
  <c r="X137" i="4"/>
  <c r="AI260" i="5" s="1"/>
  <c r="AN269" i="8" s="1"/>
  <c r="AZ269" i="8" s="1"/>
  <c r="P269" i="8" s="1"/>
  <c r="X209" i="4"/>
  <c r="AI259" i="5" s="1"/>
  <c r="AN268" i="8" s="1"/>
  <c r="AZ268" i="8" s="1"/>
  <c r="P268" i="8" s="1"/>
  <c r="E220" i="4"/>
  <c r="F9" i="5" s="1"/>
  <c r="E208" i="4"/>
  <c r="L383" i="4"/>
  <c r="Q383" i="5" s="1"/>
  <c r="AH379" i="8" s="1"/>
  <c r="L376" i="4"/>
  <c r="Q376" i="5" s="1"/>
  <c r="AH372" i="8" s="1"/>
  <c r="L380" i="4"/>
  <c r="Q380" i="5" s="1"/>
  <c r="AH376" i="8" s="1"/>
  <c r="L377" i="4"/>
  <c r="Q377" i="5" s="1"/>
  <c r="AH373" i="8" s="1"/>
  <c r="L379" i="4"/>
  <c r="Q379" i="5" s="1"/>
  <c r="AH375" i="8" s="1"/>
  <c r="L381" i="4"/>
  <c r="Q381" i="5" s="1"/>
  <c r="AH377" i="8" s="1"/>
  <c r="L375" i="4"/>
  <c r="Q375" i="5" s="1"/>
  <c r="AH371" i="8" s="1"/>
  <c r="L374" i="4"/>
  <c r="Q374" i="5" s="1"/>
  <c r="AH35" i="8" s="1"/>
  <c r="L382" i="4"/>
  <c r="Q382" i="5" s="1"/>
  <c r="AH378" i="8" s="1"/>
  <c r="Y127" i="4"/>
  <c r="AJ171" i="5" s="1"/>
  <c r="Y184" i="4"/>
  <c r="AJ132" i="5" s="1"/>
  <c r="Y209" i="4"/>
  <c r="AJ259" i="5" s="1"/>
  <c r="Y137" i="4"/>
  <c r="AJ260" i="5" s="1"/>
  <c r="Y219" i="4"/>
  <c r="AJ265" i="5" s="1"/>
  <c r="Y240" i="4"/>
  <c r="F249" i="4"/>
  <c r="F252" i="4"/>
  <c r="F300" i="4"/>
  <c r="F243" i="4"/>
  <c r="F268" i="4"/>
  <c r="F291" i="4"/>
  <c r="F292" i="4"/>
  <c r="F248" i="4"/>
  <c r="V370" i="4"/>
  <c r="AF354" i="5" s="1"/>
  <c r="AM353" i="8" s="1"/>
  <c r="V366" i="4"/>
  <c r="AF367" i="5" s="1"/>
  <c r="AM365" i="8" s="1"/>
  <c r="V360" i="4"/>
  <c r="AF364" i="5" s="1"/>
  <c r="AM362" i="8" s="1"/>
  <c r="V358" i="4"/>
  <c r="AF352" i="5" s="1"/>
  <c r="AM351" i="8" s="1"/>
  <c r="V368" i="4"/>
  <c r="AF369" i="5" s="1"/>
  <c r="AM367" i="8" s="1"/>
  <c r="V365" i="4"/>
  <c r="AF365" i="5" s="1"/>
  <c r="AM363" i="8" s="1"/>
  <c r="V369" i="4"/>
  <c r="AF353" i="5" s="1"/>
  <c r="AM352" i="8" s="1"/>
  <c r="F23" i="4"/>
  <c r="H13" i="5" s="1"/>
  <c r="F56" i="4"/>
  <c r="H116" i="5" s="1"/>
  <c r="F298" i="4"/>
  <c r="F412" i="4"/>
  <c r="F53" i="4"/>
  <c r="F403" i="4"/>
  <c r="Z163" i="4"/>
  <c r="AL239" i="5" s="1"/>
  <c r="Z164" i="4"/>
  <c r="AL240" i="5" s="1"/>
  <c r="BA240" i="5" s="1"/>
  <c r="Q305" i="4"/>
  <c r="X314" i="5" s="1"/>
  <c r="Q306" i="4"/>
  <c r="X315" i="5" s="1"/>
  <c r="Q351" i="4"/>
  <c r="X341" i="5" s="1"/>
  <c r="Q323" i="4"/>
  <c r="X326" i="5" s="1"/>
  <c r="Q345" i="4"/>
  <c r="X337" i="5" s="1"/>
  <c r="Q343" i="4"/>
  <c r="X330" i="5" s="1"/>
  <c r="Q350" i="4"/>
  <c r="X339" i="5" s="1"/>
  <c r="X23" i="4"/>
  <c r="AI13" i="5" s="1"/>
  <c r="AN48" i="8" s="1"/>
  <c r="AZ48" i="8" s="1"/>
  <c r="X53" i="4"/>
  <c r="AI43" i="5" s="1"/>
  <c r="AN74" i="8" s="1"/>
  <c r="AZ74" i="8" s="1"/>
  <c r="P74" i="8" s="1"/>
  <c r="X298" i="4"/>
  <c r="AI124" i="5" s="1"/>
  <c r="AN10" i="8" s="1"/>
  <c r="AZ10" i="8" s="1"/>
  <c r="X412" i="4"/>
  <c r="AI402" i="5" s="1"/>
  <c r="AN394" i="8" s="1"/>
  <c r="AZ394" i="8" s="1"/>
  <c r="P394" i="8" s="1"/>
  <c r="X56" i="4"/>
  <c r="X403" i="4"/>
  <c r="AI393" i="5" s="1"/>
  <c r="AN386" i="8" s="1"/>
  <c r="AZ386" i="8" s="1"/>
  <c r="P386" i="8" s="1"/>
  <c r="BA87" i="5"/>
  <c r="AO116" i="8"/>
  <c r="E152" i="4"/>
  <c r="E151" i="4"/>
  <c r="AU386" i="5"/>
  <c r="R350" i="4"/>
  <c r="R344" i="4"/>
  <c r="R351" i="4"/>
  <c r="R305" i="4"/>
  <c r="R323" i="4"/>
  <c r="R343" i="4"/>
  <c r="R345" i="4"/>
  <c r="R306" i="4"/>
  <c r="Y23" i="4"/>
  <c r="AJ13" i="5" s="1"/>
  <c r="Y53" i="4"/>
  <c r="AJ43" i="5" s="1"/>
  <c r="Y298" i="4"/>
  <c r="AJ124" i="5" s="1"/>
  <c r="Y56" i="4"/>
  <c r="AJ116" i="5" s="1"/>
  <c r="Y403" i="4"/>
  <c r="AJ393" i="5" s="1"/>
  <c r="Y412" i="4"/>
  <c r="AJ402" i="5" s="1"/>
  <c r="T40" i="4" a="1"/>
  <c r="T40" i="4" s="1"/>
  <c r="AC90" i="5" s="1"/>
  <c r="AL119" i="8" s="1"/>
  <c r="T185" i="4" a="1"/>
  <c r="T185" i="4" s="1"/>
  <c r="AC136" i="5" s="1"/>
  <c r="AL161" i="8" s="1"/>
  <c r="AX161" i="8" s="1"/>
  <c r="N161" i="8" s="1"/>
  <c r="T231" i="4" a="1"/>
  <c r="T231" i="4" s="1"/>
  <c r="AC221" i="5" s="1"/>
  <c r="AL234" i="8" s="1"/>
  <c r="T124" i="4" a="1"/>
  <c r="T124" i="4" s="1"/>
  <c r="AC276" i="5" s="1"/>
  <c r="AL284" i="8" s="1"/>
  <c r="AX284" i="8" s="1"/>
  <c r="N284" i="8" s="1"/>
  <c r="T125" i="4" a="1"/>
  <c r="T125" i="4" s="1"/>
  <c r="AC278" i="5" s="1"/>
  <c r="AL286" i="8" s="1"/>
  <c r="AX286" i="8" s="1"/>
  <c r="N286" i="8" s="1"/>
  <c r="T204" i="4" a="1"/>
  <c r="T204" i="4" s="1"/>
  <c r="AC251" i="5" s="1"/>
  <c r="AL261" i="8" s="1"/>
  <c r="AX261" i="8" s="1"/>
  <c r="T66" i="4" a="1"/>
  <c r="T66" i="4" s="1"/>
  <c r="AC277" i="5" s="1"/>
  <c r="AL285" i="8" s="1"/>
  <c r="AX285" i="8" s="1"/>
  <c r="N285" i="8" s="1"/>
  <c r="F180" i="4"/>
  <c r="H87" i="5" s="1"/>
  <c r="L133" i="4"/>
  <c r="Q226" i="5" s="1"/>
  <c r="AH239" i="8" s="1"/>
  <c r="AT239" i="8" s="1"/>
  <c r="J239" i="8" s="1"/>
  <c r="Q110" i="4"/>
  <c r="X88" i="5" s="1"/>
  <c r="Q31" i="4"/>
  <c r="X127" i="5" s="1"/>
  <c r="Q253" i="4"/>
  <c r="X168" i="5" s="1"/>
  <c r="Z315" i="4"/>
  <c r="AL316" i="5" s="1"/>
  <c r="Z309" i="4"/>
  <c r="AL308" i="5" s="1"/>
  <c r="Z314" i="4"/>
  <c r="AL313" i="5" s="1"/>
  <c r="Z316" i="4"/>
  <c r="AL318" i="5" s="1"/>
  <c r="Z307" i="4"/>
  <c r="AL317" i="5" s="1"/>
  <c r="U211" i="4" a="1"/>
  <c r="U211" i="4" s="1"/>
  <c r="AD22" i="5" s="1"/>
  <c r="U212" i="4" a="1"/>
  <c r="U212" i="4" s="1"/>
  <c r="AD23" i="5" s="1"/>
  <c r="U215" i="4" a="1"/>
  <c r="U215" i="4" s="1"/>
  <c r="AD26" i="5" s="1"/>
  <c r="U73" i="4" a="1"/>
  <c r="U73" i="4" s="1"/>
  <c r="AD192" i="5" s="1"/>
  <c r="AA184" i="8"/>
  <c r="E38" i="3"/>
  <c r="AX161" i="5"/>
  <c r="U23" i="4" a="1"/>
  <c r="U23" i="4" s="1"/>
  <c r="AD13" i="5" s="1"/>
  <c r="U46" i="4" a="1"/>
  <c r="U46" i="4" s="1"/>
  <c r="AD32" i="5" s="1"/>
  <c r="U180" i="4" a="1"/>
  <c r="U180" i="4" s="1"/>
  <c r="AD87" i="5" s="1"/>
  <c r="U62" i="4" a="1"/>
  <c r="U62" i="4" s="1"/>
  <c r="AD109" i="5" s="1"/>
  <c r="U250" i="4" a="1"/>
  <c r="U250" i="4" s="1"/>
  <c r="AD103" i="5" s="1"/>
  <c r="U141" i="4" a="1"/>
  <c r="U141" i="4" s="1"/>
  <c r="AD123" i="5" s="1"/>
  <c r="U84" i="4" a="1"/>
  <c r="U84" i="4" s="1"/>
  <c r="AD160" i="5" s="1"/>
  <c r="U82" i="4" a="1"/>
  <c r="U82" i="4" s="1"/>
  <c r="AD158" i="5" s="1"/>
  <c r="U70" i="4" a="1"/>
  <c r="U70" i="4" s="1"/>
  <c r="AD172" i="5" s="1"/>
  <c r="U131" i="4" a="1"/>
  <c r="U131" i="4" s="1"/>
  <c r="AD199" i="5" s="1"/>
  <c r="U75" i="4" a="1"/>
  <c r="U75" i="4" s="1"/>
  <c r="AD250" i="5" s="1"/>
  <c r="U228" i="4" a="1"/>
  <c r="U228" i="4" s="1"/>
  <c r="AD218" i="5" s="1"/>
  <c r="U29" i="4" a="1"/>
  <c r="U29" i="4" s="1"/>
  <c r="AD268" i="5" s="1"/>
  <c r="M180" i="4"/>
  <c r="R87" i="5" s="1"/>
  <c r="W196" i="4"/>
  <c r="AG8" i="5" s="1"/>
  <c r="L282" i="4"/>
  <c r="Q222" i="5" s="1"/>
  <c r="AH235" i="8" s="1"/>
  <c r="AT235" i="8" s="1"/>
  <c r="J235" i="8" s="1"/>
  <c r="S306" i="4"/>
  <c r="AA315" i="5" s="1"/>
  <c r="L10" i="4"/>
  <c r="Q254" i="5" s="1"/>
  <c r="AH26" i="8" s="1"/>
  <c r="AT26" i="8" s="1"/>
  <c r="J26" i="8" s="1"/>
  <c r="N10" i="4"/>
  <c r="H220" i="4"/>
  <c r="K9" i="5" s="1"/>
  <c r="AA47" i="8"/>
  <c r="U233" i="4" a="1"/>
  <c r="U233" i="4" s="1"/>
  <c r="AD29" i="5" s="1"/>
  <c r="Q140" i="4"/>
  <c r="X14" i="5" s="1"/>
  <c r="Y181" i="4"/>
  <c r="AJ10" i="5" s="1"/>
  <c r="C233" i="4"/>
  <c r="C29" i="5" s="1"/>
  <c r="T47" i="4" a="1"/>
  <c r="T47" i="4" s="1"/>
  <c r="AC33" i="5" s="1"/>
  <c r="AL64" i="8" s="1"/>
  <c r="U234" i="4" a="1"/>
  <c r="U234" i="4" s="1"/>
  <c r="AD30" i="5" s="1"/>
  <c r="M55" i="4"/>
  <c r="R67" i="5" s="1"/>
  <c r="U172" i="4" a="1"/>
  <c r="U172" i="4" s="1"/>
  <c r="AD70" i="5" s="1"/>
  <c r="Z248" i="4"/>
  <c r="AL76" i="5" s="1"/>
  <c r="H233" i="4"/>
  <c r="K29" i="5" s="1"/>
  <c r="AF61" i="8" s="1"/>
  <c r="AR61" i="8" s="1"/>
  <c r="H61" i="8" s="1"/>
  <c r="AF77" i="2"/>
  <c r="T55" i="4" a="1"/>
  <c r="T55" i="4" s="1"/>
  <c r="AC67" i="5" s="1"/>
  <c r="AL96" i="8" s="1"/>
  <c r="AX96" i="8" s="1"/>
  <c r="N96" i="8" s="1"/>
  <c r="P268" i="4"/>
  <c r="W100" i="5" s="1"/>
  <c r="AJ129" i="8" s="1"/>
  <c r="AV129" i="8" s="1"/>
  <c r="X78" i="4"/>
  <c r="AI121" i="5" s="1"/>
  <c r="AN149" i="8" s="1"/>
  <c r="AZ149" i="8" s="1"/>
  <c r="P149" i="8" s="1"/>
  <c r="Z296" i="4"/>
  <c r="AL156" i="5" s="1"/>
  <c r="Q284" i="4"/>
  <c r="X106" i="5" s="1"/>
  <c r="U293" i="4" a="1"/>
  <c r="U293" i="4" s="1"/>
  <c r="AD89" i="5" s="1"/>
  <c r="U123" i="4" a="1"/>
  <c r="U123" i="4" s="1"/>
  <c r="AD145" i="5" s="1"/>
  <c r="T240" i="4" a="1"/>
  <c r="T240" i="4" s="1"/>
  <c r="AC117" i="5" s="1"/>
  <c r="AL145" i="8" s="1"/>
  <c r="F65" i="4"/>
  <c r="H148" i="5" s="1"/>
  <c r="U78" i="4" a="1"/>
  <c r="U78" i="4" s="1"/>
  <c r="AD121" i="5" s="1"/>
  <c r="C62" i="4"/>
  <c r="C109" i="5" s="1"/>
  <c r="Z114" i="4"/>
  <c r="AL138" i="5" s="1"/>
  <c r="L83" i="4"/>
  <c r="Q159" i="5" s="1"/>
  <c r="AH13" i="8" s="1"/>
  <c r="AT13" i="8" s="1"/>
  <c r="J13" i="8" s="1"/>
  <c r="L243" i="4"/>
  <c r="Q193" i="5" s="1"/>
  <c r="AH212" i="8" s="1"/>
  <c r="AT212" i="8" s="1"/>
  <c r="J212" i="8" s="1"/>
  <c r="Q224" i="4"/>
  <c r="X169" i="5" s="1"/>
  <c r="U128" i="4" a="1"/>
  <c r="U128" i="4" s="1"/>
  <c r="AD179" i="5" s="1"/>
  <c r="S68" i="4"/>
  <c r="AA165" i="5" s="1"/>
  <c r="D17" i="4"/>
  <c r="E184" i="5" s="1"/>
  <c r="AD204" i="8" s="1"/>
  <c r="X187" i="4"/>
  <c r="AI151" i="5" s="1"/>
  <c r="AN175" i="8" s="1"/>
  <c r="AZ175" i="8" s="1"/>
  <c r="P175" i="8" s="1"/>
  <c r="U148" i="4" a="1"/>
  <c r="U148" i="4" s="1"/>
  <c r="AD200" i="5" s="1"/>
  <c r="C193" i="4"/>
  <c r="C210" i="5" s="1"/>
  <c r="E24" i="4"/>
  <c r="F182" i="5" s="1"/>
  <c r="P231" i="4"/>
  <c r="W221" i="5" s="1"/>
  <c r="AJ234" i="8" s="1"/>
  <c r="M167" i="4"/>
  <c r="R247" i="5" s="1"/>
  <c r="D189" i="4"/>
  <c r="E167" i="5" s="1"/>
  <c r="U217" i="4" a="1"/>
  <c r="U217" i="4" s="1"/>
  <c r="AD227" i="5" s="1"/>
  <c r="T189" i="4" a="1"/>
  <c r="T189" i="4" s="1"/>
  <c r="AC167" i="5" s="1"/>
  <c r="AL190" i="8" s="1"/>
  <c r="T253" i="4" a="1"/>
  <c r="T253" i="4" s="1"/>
  <c r="AC168" i="5" s="1"/>
  <c r="AL191" i="8" s="1"/>
  <c r="Y117" i="4"/>
  <c r="AJ232" i="5" s="1"/>
  <c r="Z158" i="4"/>
  <c r="AL258" i="5" s="1"/>
  <c r="U166" i="4" a="1"/>
  <c r="U166" i="4" s="1"/>
  <c r="AD246" i="5" s="1"/>
  <c r="U222" i="4" a="1"/>
  <c r="U222" i="4" s="1"/>
  <c r="AD269" i="5" s="1"/>
  <c r="U57" i="4" a="1"/>
  <c r="U57" i="4" s="1"/>
  <c r="AD257" i="5" s="1"/>
  <c r="U274" i="4" a="1"/>
  <c r="U274" i="4" s="1"/>
  <c r="AD288" i="5" s="1"/>
  <c r="U287" i="4" a="1"/>
  <c r="U287" i="4" s="1"/>
  <c r="AD287" i="5" s="1"/>
  <c r="X176" i="4"/>
  <c r="AI267" i="5" s="1"/>
  <c r="AN275" i="8" s="1"/>
  <c r="AZ275" i="8" s="1"/>
  <c r="P275" i="8" s="1"/>
  <c r="M337" i="4"/>
  <c r="R321" i="5" s="1"/>
  <c r="P257" i="4"/>
  <c r="W295" i="5" s="1"/>
  <c r="AJ302" i="8" s="1"/>
  <c r="E63" i="4"/>
  <c r="F270" i="5" s="1"/>
  <c r="P279" i="4"/>
  <c r="W286" i="5" s="1"/>
  <c r="AJ293" i="8" s="1"/>
  <c r="M329" i="4"/>
  <c r="R345" i="5" s="1"/>
  <c r="T95" i="4" a="1"/>
  <c r="T95" i="4" s="1"/>
  <c r="AC273" i="5" s="1"/>
  <c r="AL281" i="8" s="1"/>
  <c r="AX281" i="8" s="1"/>
  <c r="N281" i="8" s="1"/>
  <c r="Q405" i="4"/>
  <c r="X410" i="5" s="1"/>
  <c r="Z359" i="4"/>
  <c r="AL363" i="5" s="1"/>
  <c r="L402" i="4"/>
  <c r="Q412" i="5" s="1"/>
  <c r="P374" i="4"/>
  <c r="W374" i="5" s="1"/>
  <c r="AJ35" i="8" s="1"/>
  <c r="P376" i="4"/>
  <c r="W376" i="5" s="1"/>
  <c r="AJ372" i="8" s="1"/>
  <c r="P381" i="4"/>
  <c r="W381" i="5" s="1"/>
  <c r="AJ377" i="8" s="1"/>
  <c r="P380" i="4"/>
  <c r="W380" i="5" s="1"/>
  <c r="AJ376" i="8" s="1"/>
  <c r="P377" i="4"/>
  <c r="W377" i="5" s="1"/>
  <c r="AJ373" i="8" s="1"/>
  <c r="P379" i="4"/>
  <c r="W379" i="5" s="1"/>
  <c r="AJ375" i="8" s="1"/>
  <c r="P383" i="4"/>
  <c r="W383" i="5" s="1"/>
  <c r="AJ379" i="8" s="1"/>
  <c r="P378" i="4"/>
  <c r="W378" i="5" s="1"/>
  <c r="AJ374" i="8" s="1"/>
  <c r="P382" i="4"/>
  <c r="W382" i="5" s="1"/>
  <c r="AJ378" i="8" s="1"/>
  <c r="AX308" i="8"/>
  <c r="Z280" i="4"/>
  <c r="AL290" i="5" s="1"/>
  <c r="Z281" i="4"/>
  <c r="AL292" i="5" s="1"/>
  <c r="Z274" i="4"/>
  <c r="AL288" i="5" s="1"/>
  <c r="Z270" i="4"/>
  <c r="AL291" i="5" s="1"/>
  <c r="Z258" i="4"/>
  <c r="Z257" i="4"/>
  <c r="AL82" i="2"/>
  <c r="W172" i="8"/>
  <c r="AT147" i="5"/>
  <c r="L304" i="4"/>
  <c r="Q304" i="5" s="1"/>
  <c r="AH306" i="8" s="1"/>
  <c r="AT306" i="8" s="1"/>
  <c r="J306" i="8" s="1"/>
  <c r="L332" i="4"/>
  <c r="Q349" i="5" s="1"/>
  <c r="AH349" i="8" s="1"/>
  <c r="AT349" i="8" s="1"/>
  <c r="J349" i="8" s="1"/>
  <c r="L340" i="4"/>
  <c r="Q331" i="5" s="1"/>
  <c r="AH31" i="8" s="1"/>
  <c r="AT31" i="8" s="1"/>
  <c r="J31" i="8" s="1"/>
  <c r="L190" i="4"/>
  <c r="Q281" i="5" s="1"/>
  <c r="AH288" i="8" s="1"/>
  <c r="AT288" i="8" s="1"/>
  <c r="J288" i="8" s="1"/>
  <c r="L129" i="4"/>
  <c r="Q283" i="5" s="1"/>
  <c r="AH290" i="8" s="1"/>
  <c r="AT290" i="8" s="1"/>
  <c r="J290" i="8" s="1"/>
  <c r="L191" i="4"/>
  <c r="Q282" i="5" s="1"/>
  <c r="AH289" i="8" s="1"/>
  <c r="AT289" i="8" s="1"/>
  <c r="J289" i="8" s="1"/>
  <c r="D378" i="4"/>
  <c r="E378" i="5" s="1"/>
  <c r="D381" i="4"/>
  <c r="E381" i="5" s="1"/>
  <c r="D380" i="4"/>
  <c r="E380" i="5" s="1"/>
  <c r="D377" i="4"/>
  <c r="E377" i="5" s="1"/>
  <c r="D374" i="4"/>
  <c r="E374" i="5" s="1"/>
  <c r="D383" i="4"/>
  <c r="E383" i="5" s="1"/>
  <c r="D376" i="4"/>
  <c r="E376" i="5" s="1"/>
  <c r="D379" i="4"/>
  <c r="E379" i="5" s="1"/>
  <c r="D382" i="4"/>
  <c r="E382" i="5" s="1"/>
  <c r="D375" i="4"/>
  <c r="E375" i="5" s="1"/>
  <c r="D225" i="4"/>
  <c r="E196" i="5" s="1"/>
  <c r="D203" i="4"/>
  <c r="E37" i="5" s="1"/>
  <c r="S194" i="4"/>
  <c r="AA27" i="5" s="1"/>
  <c r="S122" i="4"/>
  <c r="AA141" i="5" s="1"/>
  <c r="S123" i="4"/>
  <c r="AA145" i="5" s="1"/>
  <c r="S246" i="4"/>
  <c r="AA230" i="5" s="1"/>
  <c r="S245" i="4"/>
  <c r="AA229" i="5" s="1"/>
  <c r="R203" i="4"/>
  <c r="R225" i="4"/>
  <c r="R239" i="4"/>
  <c r="X77" i="4"/>
  <c r="AI119" i="5" s="1"/>
  <c r="AN147" i="8" s="1"/>
  <c r="AZ147" i="8" s="1"/>
  <c r="P147" i="8" s="1"/>
  <c r="X293" i="4"/>
  <c r="AI89" i="5" s="1"/>
  <c r="AN118" i="8" s="1"/>
  <c r="AZ118" i="8" s="1"/>
  <c r="P118" i="8" s="1"/>
  <c r="X13" i="4"/>
  <c r="AI142" i="5" s="1"/>
  <c r="AN167" i="8" s="1"/>
  <c r="AZ167" i="8" s="1"/>
  <c r="P167" i="8" s="1"/>
  <c r="X290" i="4"/>
  <c r="AI140" i="5" s="1"/>
  <c r="AN165" i="8" s="1"/>
  <c r="AZ165" i="8" s="1"/>
  <c r="P165" i="8" s="1"/>
  <c r="X284" i="4"/>
  <c r="AI106" i="5" s="1"/>
  <c r="AN135" i="8" s="1"/>
  <c r="AZ135" i="8" s="1"/>
  <c r="P135" i="8" s="1"/>
  <c r="M303" i="4"/>
  <c r="R303" i="5" s="1"/>
  <c r="M331" i="4"/>
  <c r="R348" i="5" s="1"/>
  <c r="BA310" i="5"/>
  <c r="AO312" i="8"/>
  <c r="F383" i="4"/>
  <c r="F375" i="4"/>
  <c r="F376" i="4"/>
  <c r="F377" i="4"/>
  <c r="F378" i="4"/>
  <c r="F379" i="4"/>
  <c r="F380" i="4"/>
  <c r="F381" i="4"/>
  <c r="F382" i="4"/>
  <c r="F374" i="4"/>
  <c r="S182" i="4"/>
  <c r="AA11" i="5" s="1"/>
  <c r="S184" i="4"/>
  <c r="AA132" i="5" s="1"/>
  <c r="S120" i="4"/>
  <c r="AA93" i="5" s="1"/>
  <c r="S240" i="4"/>
  <c r="AA117" i="5" s="1"/>
  <c r="S219" i="4"/>
  <c r="AA265" i="5" s="1"/>
  <c r="S137" i="4"/>
  <c r="AA260" i="5" s="1"/>
  <c r="S209" i="4"/>
  <c r="AA259" i="5" s="1"/>
  <c r="E124" i="4"/>
  <c r="E26" i="4"/>
  <c r="E52" i="4"/>
  <c r="E165" i="4"/>
  <c r="E168" i="4"/>
  <c r="E54" i="4"/>
  <c r="E51" i="4"/>
  <c r="E58" i="4"/>
  <c r="E3" i="4"/>
  <c r="E36" i="4"/>
  <c r="E50" i="4"/>
  <c r="E402" i="4"/>
  <c r="E78" i="4"/>
  <c r="E166" i="4"/>
  <c r="E167" i="4"/>
  <c r="AF80" i="2"/>
  <c r="U308" i="8"/>
  <c r="AR306" i="5"/>
  <c r="P303" i="4"/>
  <c r="W303" i="5" s="1"/>
  <c r="AJ305" i="8" s="1"/>
  <c r="P331" i="4"/>
  <c r="W348" i="5" s="1"/>
  <c r="AJ348" i="8" s="1"/>
  <c r="L274" i="4"/>
  <c r="Q288" i="5" s="1"/>
  <c r="AH295" i="8" s="1"/>
  <c r="AT295" i="8" s="1"/>
  <c r="J295" i="8" s="1"/>
  <c r="L257" i="4"/>
  <c r="Q295" i="5" s="1"/>
  <c r="AH302" i="8" s="1"/>
  <c r="AT302" i="8" s="1"/>
  <c r="J302" i="8" s="1"/>
  <c r="L280" i="4"/>
  <c r="Q290" i="5" s="1"/>
  <c r="AH297" i="8" s="1"/>
  <c r="AT297" i="8" s="1"/>
  <c r="J297" i="8" s="1"/>
  <c r="L270" i="4"/>
  <c r="Q291" i="5" s="1"/>
  <c r="AH298" i="8" s="1"/>
  <c r="AT298" i="8" s="1"/>
  <c r="J298" i="8" s="1"/>
  <c r="W24" i="8"/>
  <c r="AU24" i="8" s="1"/>
  <c r="AT228" i="5"/>
  <c r="AG72" i="2"/>
  <c r="AI72" i="2"/>
  <c r="AF215" i="8"/>
  <c r="AR215" i="8" s="1"/>
  <c r="H215" i="8" s="1"/>
  <c r="AR196" i="5"/>
  <c r="AU107" i="5"/>
  <c r="AI136" i="8"/>
  <c r="H229" i="4"/>
  <c r="K28" i="5" s="1"/>
  <c r="H250" i="4"/>
  <c r="K103" i="5" s="1"/>
  <c r="H244" i="4"/>
  <c r="K219" i="5" s="1"/>
  <c r="H230" i="4"/>
  <c r="K220" i="5" s="1"/>
  <c r="H256" i="4"/>
  <c r="K213" i="5" s="1"/>
  <c r="H29" i="4"/>
  <c r="K268" i="5" s="1"/>
  <c r="I327" i="4"/>
  <c r="L343" i="5" s="1"/>
  <c r="I326" i="4"/>
  <c r="L342" i="5" s="1"/>
  <c r="I328" i="4"/>
  <c r="L344" i="5" s="1"/>
  <c r="J312" i="4"/>
  <c r="N311" i="5" s="1"/>
  <c r="J313" i="4"/>
  <c r="N312" i="5" s="1"/>
  <c r="J310" i="4"/>
  <c r="N309" i="5" s="1"/>
  <c r="J349" i="4"/>
  <c r="N335" i="5" s="1"/>
  <c r="AV91" i="2"/>
  <c r="AV90" i="2"/>
  <c r="M213" i="4"/>
  <c r="R24" i="5" s="1"/>
  <c r="M214" i="4"/>
  <c r="R25" i="5" s="1"/>
  <c r="M215" i="4"/>
  <c r="R26" i="5" s="1"/>
  <c r="AV307" i="5"/>
  <c r="Y309" i="8"/>
  <c r="H265" i="4"/>
  <c r="K6" i="5" s="1"/>
  <c r="H221" i="4"/>
  <c r="K80" i="5" s="1"/>
  <c r="H11" i="4"/>
  <c r="K255" i="5" s="1"/>
  <c r="AF264" i="8" s="1"/>
  <c r="AR264" i="8" s="1"/>
  <c r="H264" i="8" s="1"/>
  <c r="H112" i="4"/>
  <c r="K274" i="5" s="1"/>
  <c r="H279" i="4"/>
  <c r="K286" i="5" s="1"/>
  <c r="H263" i="4"/>
  <c r="K289" i="5" s="1"/>
  <c r="F352" i="4"/>
  <c r="F354" i="4"/>
  <c r="F361" i="4"/>
  <c r="F363" i="4"/>
  <c r="F357" i="4"/>
  <c r="F362" i="4"/>
  <c r="F372" i="4"/>
  <c r="F373" i="4"/>
  <c r="F371" i="4"/>
  <c r="F355" i="4"/>
  <c r="F364" i="4"/>
  <c r="F359" i="4"/>
  <c r="F353" i="4"/>
  <c r="AR94" i="2"/>
  <c r="AR93" i="2"/>
  <c r="S223" i="4"/>
  <c r="AA15" i="5" s="1"/>
  <c r="S193" i="4"/>
  <c r="AA210" i="5" s="1"/>
  <c r="S84" i="4"/>
  <c r="AA160" i="5" s="1"/>
  <c r="S155" i="4"/>
  <c r="AA209" i="5" s="1"/>
  <c r="S82" i="4"/>
  <c r="AA158" i="5" s="1"/>
  <c r="S83" i="4"/>
  <c r="AA159" i="5" s="1"/>
  <c r="S157" i="4"/>
  <c r="AA212" i="5" s="1"/>
  <c r="S156" i="4"/>
  <c r="AA211" i="5" s="1"/>
  <c r="S288" i="4"/>
  <c r="AA214" i="5" s="1"/>
  <c r="S158" i="4"/>
  <c r="AA258" i="5" s="1"/>
  <c r="J177" i="4"/>
  <c r="J178" i="4"/>
  <c r="J138" i="4"/>
  <c r="J25" i="4"/>
  <c r="J101" i="4"/>
  <c r="J76" i="4"/>
  <c r="J175" i="4"/>
  <c r="J136" i="4"/>
  <c r="E303" i="4"/>
  <c r="E331" i="4"/>
  <c r="R151" i="4"/>
  <c r="R152" i="4"/>
  <c r="I106" i="4"/>
  <c r="L58" i="5" s="1"/>
  <c r="I105" i="4"/>
  <c r="I57" i="4"/>
  <c r="S312" i="4"/>
  <c r="AA311" i="5" s="1"/>
  <c r="S313" i="4"/>
  <c r="AA312" i="5" s="1"/>
  <c r="BE90" i="2"/>
  <c r="BE91" i="2"/>
  <c r="C266" i="4"/>
  <c r="C7" i="5" s="1"/>
  <c r="C64" i="4"/>
  <c r="C3" i="5" s="1"/>
  <c r="C196" i="4"/>
  <c r="C8" i="5" s="1"/>
  <c r="R44" i="8" s="1"/>
  <c r="C202" i="4"/>
  <c r="C36" i="5" s="1"/>
  <c r="R67" i="8" s="1"/>
  <c r="C121" i="4"/>
  <c r="C113" i="5" s="1"/>
  <c r="R8" i="8" s="1"/>
  <c r="C238" i="4"/>
  <c r="C105" i="5" s="1"/>
  <c r="R134" i="8" s="1"/>
  <c r="C247" i="4"/>
  <c r="C231" i="5" s="1"/>
  <c r="C251" i="4"/>
  <c r="C280" i="5" s="1"/>
  <c r="D267" i="4"/>
  <c r="E73" i="5" s="1"/>
  <c r="AD102" i="8" s="1"/>
  <c r="D97" i="4"/>
  <c r="E130" i="5" s="1"/>
  <c r="AD155" i="8" s="1"/>
  <c r="D142" i="4"/>
  <c r="E125" i="5" s="1"/>
  <c r="D269" i="4"/>
  <c r="E2" i="5" s="1"/>
  <c r="D237" i="4"/>
  <c r="E104" i="5" s="1"/>
  <c r="AD133" i="8" s="1"/>
  <c r="D228" i="4"/>
  <c r="E218" i="5" s="1"/>
  <c r="AP88" i="2"/>
  <c r="AP87" i="2"/>
  <c r="X280" i="4"/>
  <c r="AI290" i="5" s="1"/>
  <c r="AN297" i="8" s="1"/>
  <c r="X281" i="4"/>
  <c r="AI292" i="5" s="1"/>
  <c r="AN299" i="8" s="1"/>
  <c r="AZ299" i="8" s="1"/>
  <c r="P299" i="8" s="1"/>
  <c r="X274" i="4"/>
  <c r="AI288" i="5" s="1"/>
  <c r="AN295" i="8" s="1"/>
  <c r="X270" i="4"/>
  <c r="AI291" i="5" s="1"/>
  <c r="AN298" i="8" s="1"/>
  <c r="X257" i="4"/>
  <c r="AI295" i="5" s="1"/>
  <c r="F183" i="4"/>
  <c r="H271" i="5" s="1"/>
  <c r="F7" i="4"/>
  <c r="F47" i="4"/>
  <c r="F48" i="4"/>
  <c r="F45" i="4"/>
  <c r="F46" i="4"/>
  <c r="F49" i="4"/>
  <c r="F34" i="4"/>
  <c r="F5" i="4"/>
  <c r="F9" i="4"/>
  <c r="I185" i="4"/>
  <c r="L136" i="5" s="1"/>
  <c r="I200" i="4"/>
  <c r="I55" i="4"/>
  <c r="I109" i="4"/>
  <c r="I218" i="4"/>
  <c r="I125" i="4"/>
  <c r="I10" i="4"/>
  <c r="I60" i="4"/>
  <c r="I38" i="4"/>
  <c r="R84" i="8"/>
  <c r="E263" i="4"/>
  <c r="E112" i="4"/>
  <c r="E296" i="4"/>
  <c r="E11" i="4"/>
  <c r="E132" i="4"/>
  <c r="E279" i="4"/>
  <c r="E287" i="4"/>
  <c r="E265" i="4"/>
  <c r="E221" i="4"/>
  <c r="O114" i="4"/>
  <c r="U138" i="5" s="1"/>
  <c r="O150" i="4"/>
  <c r="U202" i="5" s="1"/>
  <c r="L310" i="4"/>
  <c r="Q309" i="5" s="1"/>
  <c r="AH311" i="8" s="1"/>
  <c r="AT311" i="8" s="1"/>
  <c r="J311" i="8" s="1"/>
  <c r="L312" i="4"/>
  <c r="Q311" i="5" s="1"/>
  <c r="AH313" i="8" s="1"/>
  <c r="AT313" i="8" s="1"/>
  <c r="J313" i="8" s="1"/>
  <c r="L313" i="4"/>
  <c r="Q312" i="5" s="1"/>
  <c r="AH314" i="8" s="1"/>
  <c r="AT314" i="8" s="1"/>
  <c r="J314" i="8" s="1"/>
  <c r="L349" i="4"/>
  <c r="Q335" i="5" s="1"/>
  <c r="AH335" i="8" s="1"/>
  <c r="AT335" i="8" s="1"/>
  <c r="J335" i="8" s="1"/>
  <c r="AX91" i="2"/>
  <c r="AX90" i="2"/>
  <c r="L196" i="4"/>
  <c r="Q8" i="5" s="1"/>
  <c r="AH44" i="8" s="1"/>
  <c r="AT44" i="8" s="1"/>
  <c r="J44" i="8" s="1"/>
  <c r="L266" i="4"/>
  <c r="Q7" i="5" s="1"/>
  <c r="AH43" i="8" s="1"/>
  <c r="AT43" i="8" s="1"/>
  <c r="J43" i="8" s="1"/>
  <c r="L202" i="4"/>
  <c r="Q36" i="5" s="1"/>
  <c r="AH67" i="8" s="1"/>
  <c r="AT67" i="8" s="1"/>
  <c r="J67" i="8" s="1"/>
  <c r="L121" i="4"/>
  <c r="Q113" i="5" s="1"/>
  <c r="AH8" i="8" s="1"/>
  <c r="AT8" i="8" s="1"/>
  <c r="J8" i="8" s="1"/>
  <c r="L238" i="4"/>
  <c r="Q105" i="5" s="1"/>
  <c r="AH134" i="8" s="1"/>
  <c r="AT134" i="8" s="1"/>
  <c r="J134" i="8" s="1"/>
  <c r="L94" i="4"/>
  <c r="Q120" i="5" s="1"/>
  <c r="AH148" i="8" s="1"/>
  <c r="AT148" i="8" s="1"/>
  <c r="J148" i="8" s="1"/>
  <c r="L186" i="4"/>
  <c r="Q150" i="5" s="1"/>
  <c r="AH174" i="8" s="1"/>
  <c r="AT174" i="8" s="1"/>
  <c r="L251" i="4"/>
  <c r="Q280" i="5" s="1"/>
  <c r="AH287" i="8" s="1"/>
  <c r="AT287" i="8" s="1"/>
  <c r="J287" i="8" s="1"/>
  <c r="O294" i="4"/>
  <c r="U144" i="5" s="1"/>
  <c r="O301" i="4"/>
  <c r="U189" i="5" s="1"/>
  <c r="O264" i="4"/>
  <c r="U198" i="5" s="1"/>
  <c r="O254" i="4"/>
  <c r="U194" i="5" s="1"/>
  <c r="O226" i="4"/>
  <c r="U197" i="5" s="1"/>
  <c r="P207" i="4"/>
  <c r="W72" i="5" s="1"/>
  <c r="AJ101" i="8" s="1"/>
  <c r="P135" i="4"/>
  <c r="W74" i="5" s="1"/>
  <c r="AJ103" i="8" s="1"/>
  <c r="AV103" i="8" s="1"/>
  <c r="L103" i="8" s="1"/>
  <c r="P35" i="4"/>
  <c r="W173" i="5" s="1"/>
  <c r="AJ195" i="8" s="1"/>
  <c r="P416" i="4"/>
  <c r="W400" i="5" s="1"/>
  <c r="AJ393" i="8" s="1"/>
  <c r="AV393" i="8" s="1"/>
  <c r="L393" i="8" s="1"/>
  <c r="P397" i="4"/>
  <c r="W399" i="5" s="1"/>
  <c r="AJ392" i="8" s="1"/>
  <c r="AV392" i="8" s="1"/>
  <c r="L392" i="8" s="1"/>
  <c r="P408" i="4"/>
  <c r="W401" i="5" s="1"/>
  <c r="AJ37" i="8" s="1"/>
  <c r="AV37" i="8" s="1"/>
  <c r="L37" i="8" s="1"/>
  <c r="P259" i="4"/>
  <c r="W297" i="5" s="1"/>
  <c r="AJ303" i="8" s="1"/>
  <c r="P406" i="4"/>
  <c r="W416" i="5" s="1"/>
  <c r="L144" i="4"/>
  <c r="Q155" i="5" s="1"/>
  <c r="AH179" i="8" s="1"/>
  <c r="AT179" i="8" s="1"/>
  <c r="J179" i="8" s="1"/>
  <c r="L161" i="4"/>
  <c r="Q217" i="5" s="1"/>
  <c r="AH230" i="8" s="1"/>
  <c r="AT230" i="8" s="1"/>
  <c r="J230" i="8" s="1"/>
  <c r="L159" i="4"/>
  <c r="Q215" i="5" s="1"/>
  <c r="AH23" i="8" s="1"/>
  <c r="AT23" i="8" s="1"/>
  <c r="J23" i="8" s="1"/>
  <c r="L95" i="4"/>
  <c r="Q273" i="5" s="1"/>
  <c r="AH281" i="8" s="1"/>
  <c r="AT281" i="8" s="1"/>
  <c r="J281" i="8" s="1"/>
  <c r="L152" i="4"/>
  <c r="Q205" i="5" s="1"/>
  <c r="AH21" i="8" s="1"/>
  <c r="L151" i="4"/>
  <c r="Q204" i="5" s="1"/>
  <c r="AH20" i="8" s="1"/>
  <c r="AT20" i="8" s="1"/>
  <c r="J20" i="8" s="1"/>
  <c r="O153" i="4"/>
  <c r="U206" i="5" s="1"/>
  <c r="O201" i="4"/>
  <c r="U249" i="5" s="1"/>
  <c r="I158" i="4"/>
  <c r="I157" i="4"/>
  <c r="I82" i="4"/>
  <c r="I83" i="4"/>
  <c r="I84" i="4"/>
  <c r="I223" i="4"/>
  <c r="I155" i="4"/>
  <c r="I193" i="4"/>
  <c r="I288" i="4"/>
  <c r="I156" i="4"/>
  <c r="AB20" i="8"/>
  <c r="AY204" i="5"/>
  <c r="F410" i="4"/>
  <c r="F69" i="4"/>
  <c r="F116" i="4"/>
  <c r="F392" i="4"/>
  <c r="F115" i="4"/>
  <c r="F35" i="4"/>
  <c r="H173" i="5" s="1"/>
  <c r="F259" i="4"/>
  <c r="F408" i="4"/>
  <c r="F397" i="4"/>
  <c r="F135" i="4"/>
  <c r="F416" i="4"/>
  <c r="F406" i="4"/>
  <c r="F207" i="4"/>
  <c r="F113" i="4"/>
  <c r="F130" i="4"/>
  <c r="H5" i="5" s="1"/>
  <c r="F22" i="4"/>
  <c r="H12" i="5" s="1"/>
  <c r="F262" i="4"/>
  <c r="F399" i="4"/>
  <c r="F89" i="4"/>
  <c r="F394" i="4"/>
  <c r="F59" i="4"/>
  <c r="F395" i="4"/>
  <c r="F396" i="4"/>
  <c r="F299" i="4"/>
  <c r="F400" i="4"/>
  <c r="F404" i="4"/>
  <c r="Y212" i="4"/>
  <c r="AJ23" i="5" s="1"/>
  <c r="Y210" i="4"/>
  <c r="AJ21" i="5" s="1"/>
  <c r="Y148" i="4"/>
  <c r="AJ200" i="5" s="1"/>
  <c r="Y147" i="4"/>
  <c r="AJ293" i="5" s="1"/>
  <c r="D294" i="4"/>
  <c r="E144" i="5" s="1"/>
  <c r="AD169" i="8" s="1"/>
  <c r="D264" i="4"/>
  <c r="E198" i="5" s="1"/>
  <c r="AD217" i="8" s="1"/>
  <c r="D301" i="4"/>
  <c r="E189" i="5" s="1"/>
  <c r="D255" i="4"/>
  <c r="E195" i="5" s="1"/>
  <c r="D226" i="4"/>
  <c r="E197" i="5" s="1"/>
  <c r="D106" i="4"/>
  <c r="E58" i="5" s="1"/>
  <c r="D105" i="4"/>
  <c r="E57" i="5" s="1"/>
  <c r="D4" i="4"/>
  <c r="E174" i="5" s="1"/>
  <c r="AD196" i="8" s="1"/>
  <c r="D61" i="4"/>
  <c r="E262" i="5" s="1"/>
  <c r="D102" i="4"/>
  <c r="E266" i="5" s="1"/>
  <c r="AP85" i="2"/>
  <c r="AP84" i="2"/>
  <c r="F141" i="4"/>
  <c r="H123" i="5" s="1"/>
  <c r="F144" i="4"/>
  <c r="H155" i="5" s="1"/>
  <c r="F159" i="4"/>
  <c r="H215" i="5" s="1"/>
  <c r="F160" i="4"/>
  <c r="H216" i="5" s="1"/>
  <c r="F161" i="4"/>
  <c r="H217" i="5" s="1"/>
  <c r="O43" i="4"/>
  <c r="U17" i="5" s="1"/>
  <c r="O44" i="4"/>
  <c r="U18" i="5" s="1"/>
  <c r="O42" i="4"/>
  <c r="U16" i="5" s="1"/>
  <c r="O8" i="4"/>
  <c r="U177" i="5" s="1"/>
  <c r="O6" i="4"/>
  <c r="U175" i="5" s="1"/>
  <c r="O220" i="4"/>
  <c r="U9" i="5" s="1"/>
  <c r="O208" i="4"/>
  <c r="U75" i="5" s="1"/>
  <c r="X88" i="8"/>
  <c r="AU59" i="5"/>
  <c r="M294" i="4"/>
  <c r="R144" i="5" s="1"/>
  <c r="M264" i="4"/>
  <c r="R198" i="5" s="1"/>
  <c r="M226" i="4"/>
  <c r="R197" i="5" s="1"/>
  <c r="M301" i="4"/>
  <c r="R189" i="5" s="1"/>
  <c r="M175" i="4"/>
  <c r="R81" i="5" s="1"/>
  <c r="M101" i="4"/>
  <c r="R35" i="5" s="1"/>
  <c r="M136" i="4"/>
  <c r="R84" i="5" s="1"/>
  <c r="M178" i="4"/>
  <c r="R85" i="5" s="1"/>
  <c r="M177" i="4"/>
  <c r="R83" i="5" s="1"/>
  <c r="M76" i="4"/>
  <c r="R115" i="5" s="1"/>
  <c r="M25" i="4"/>
  <c r="R252" i="5" s="1"/>
  <c r="M207" i="4"/>
  <c r="R72" i="5" s="1"/>
  <c r="M135" i="4"/>
  <c r="R74" i="5" s="1"/>
  <c r="M17" i="4"/>
  <c r="R184" i="5" s="1"/>
  <c r="M16" i="4"/>
  <c r="R183" i="5" s="1"/>
  <c r="M259" i="4"/>
  <c r="R297" i="5" s="1"/>
  <c r="M397" i="4"/>
  <c r="M416" i="4"/>
  <c r="M408" i="4"/>
  <c r="M406" i="4"/>
  <c r="M106" i="4"/>
  <c r="R58" i="5" s="1"/>
  <c r="M105" i="4"/>
  <c r="R57" i="5" s="1"/>
  <c r="Z69" i="4"/>
  <c r="AL170" i="5" s="1"/>
  <c r="Z116" i="4"/>
  <c r="AL256" i="5" s="1"/>
  <c r="AO119" i="8"/>
  <c r="BA90" i="5"/>
  <c r="Z275" i="4"/>
  <c r="AL300" i="5" s="1"/>
  <c r="BA300" i="5" s="1"/>
  <c r="Z289" i="4"/>
  <c r="AL52" i="5" s="1"/>
  <c r="Z62" i="4"/>
  <c r="AL109" i="5" s="1"/>
  <c r="Z75" i="4"/>
  <c r="AL250" i="5" s="1"/>
  <c r="Z130" i="4"/>
  <c r="AL5" i="5" s="1"/>
  <c r="Z262" i="4"/>
  <c r="AL4" i="5" s="1"/>
  <c r="Z22" i="4"/>
  <c r="AL12" i="5" s="1"/>
  <c r="Z59" i="4"/>
  <c r="AL45" i="5" s="1"/>
  <c r="Z299" i="4"/>
  <c r="AL154" i="5" s="1"/>
  <c r="Z277" i="4"/>
  <c r="AL301" i="5" s="1"/>
  <c r="BA301" i="5" s="1"/>
  <c r="Z169" i="4"/>
  <c r="AL54" i="5" s="1"/>
  <c r="Z90" i="4"/>
  <c r="AL82" i="5" s="1"/>
  <c r="Z91" i="4"/>
  <c r="AL92" i="5" s="1"/>
  <c r="P211" i="4"/>
  <c r="W22" i="5" s="1"/>
  <c r="AJ55" i="8" s="1"/>
  <c r="P213" i="4"/>
  <c r="W24" i="5" s="1"/>
  <c r="AJ57" i="8" s="1"/>
  <c r="P215" i="4"/>
  <c r="W26" i="5" s="1"/>
  <c r="AJ59" i="8" s="1"/>
  <c r="P214" i="4"/>
  <c r="W25" i="5" s="1"/>
  <c r="AJ58" i="8" s="1"/>
  <c r="AT19" i="5"/>
  <c r="AL54" i="2"/>
  <c r="M23" i="4"/>
  <c r="R13" i="5" s="1"/>
  <c r="M298" i="4"/>
  <c r="R124" i="5" s="1"/>
  <c r="M412" i="4"/>
  <c r="M403" i="4"/>
  <c r="D286" i="4"/>
  <c r="E108" i="5" s="1"/>
  <c r="AD137" i="8" s="1"/>
  <c r="D241" i="4"/>
  <c r="E128" i="5" s="1"/>
  <c r="AD153" i="8" s="1"/>
  <c r="D293" i="4"/>
  <c r="E89" i="5" s="1"/>
  <c r="AD118" i="8" s="1"/>
  <c r="D290" i="4"/>
  <c r="E140" i="5" s="1"/>
  <c r="AD165" i="8" s="1"/>
  <c r="D77" i="4"/>
  <c r="E119" i="5" s="1"/>
  <c r="AD147" i="8" s="1"/>
  <c r="X173" i="4"/>
  <c r="AI78" i="5" s="1"/>
  <c r="AN107" i="8" s="1"/>
  <c r="AZ107" i="8" s="1"/>
  <c r="P107" i="8" s="1"/>
  <c r="X302" i="4"/>
  <c r="AI77" i="5" s="1"/>
  <c r="AN106" i="8" s="1"/>
  <c r="AZ106" i="8" s="1"/>
  <c r="P106" i="8" s="1"/>
  <c r="X174" i="4"/>
  <c r="AI79" i="5" s="1"/>
  <c r="AN108" i="8" s="1"/>
  <c r="AZ108" i="8" s="1"/>
  <c r="P108" i="8" s="1"/>
  <c r="Y376" i="4"/>
  <c r="AJ376" i="5" s="1"/>
  <c r="Y381" i="4"/>
  <c r="AJ381" i="5" s="1"/>
  <c r="Y380" i="4"/>
  <c r="AJ380" i="5" s="1"/>
  <c r="Y377" i="4"/>
  <c r="AJ377" i="5" s="1"/>
  <c r="Y379" i="4"/>
  <c r="AJ379" i="5" s="1"/>
  <c r="Y383" i="4"/>
  <c r="AJ383" i="5" s="1"/>
  <c r="Y374" i="4"/>
  <c r="AJ374" i="5" s="1"/>
  <c r="Y382" i="4"/>
  <c r="AJ382" i="5" s="1"/>
  <c r="Y378" i="4"/>
  <c r="AJ378" i="5" s="1"/>
  <c r="Y375" i="4"/>
  <c r="AJ375" i="5" s="1"/>
  <c r="E249" i="4"/>
  <c r="E248" i="4"/>
  <c r="E252" i="4"/>
  <c r="E243" i="4"/>
  <c r="E300" i="4"/>
  <c r="E268" i="4"/>
  <c r="E291" i="4"/>
  <c r="E292" i="4"/>
  <c r="U367" i="4"/>
  <c r="AD368" i="5" s="1"/>
  <c r="U360" i="4"/>
  <c r="AD364" i="5" s="1"/>
  <c r="U369" i="4"/>
  <c r="AD353" i="5" s="1"/>
  <c r="U358" i="4"/>
  <c r="AD352" i="5" s="1"/>
  <c r="U365" i="4"/>
  <c r="AD365" i="5" s="1"/>
  <c r="U366" i="4"/>
  <c r="AD367" i="5" s="1"/>
  <c r="U368" i="4"/>
  <c r="AD369" i="5" s="1"/>
  <c r="M304" i="4"/>
  <c r="R304" i="5" s="1"/>
  <c r="M340" i="4"/>
  <c r="R331" i="5" s="1"/>
  <c r="M332" i="4"/>
  <c r="R349" i="5" s="1"/>
  <c r="M338" i="4"/>
  <c r="R332" i="5" s="1"/>
  <c r="Z374" i="4"/>
  <c r="AL374" i="5" s="1"/>
  <c r="Z378" i="4"/>
  <c r="AL378" i="5" s="1"/>
  <c r="Z376" i="4"/>
  <c r="AL376" i="5" s="1"/>
  <c r="Z377" i="4"/>
  <c r="AL377" i="5" s="1"/>
  <c r="Z380" i="4"/>
  <c r="AL380" i="5" s="1"/>
  <c r="Z375" i="4"/>
  <c r="AL375" i="5" s="1"/>
  <c r="Z383" i="4"/>
  <c r="AL383" i="5" s="1"/>
  <c r="Z381" i="4"/>
  <c r="AL381" i="5" s="1"/>
  <c r="Z382" i="4"/>
  <c r="AL382" i="5" s="1"/>
  <c r="R45" i="4"/>
  <c r="Z31" i="5" s="1"/>
  <c r="AK5" i="8" s="1"/>
  <c r="R47" i="4"/>
  <c r="Z33" i="5" s="1"/>
  <c r="AK64" i="8" s="1"/>
  <c r="R5" i="4"/>
  <c r="Z61" i="5" s="1"/>
  <c r="R34" i="4"/>
  <c r="Z149" i="5" s="1"/>
  <c r="AK173" i="8" s="1"/>
  <c r="R7" i="4"/>
  <c r="Z176" i="5" s="1"/>
  <c r="R9" i="4"/>
  <c r="Z188" i="5" s="1"/>
  <c r="R48" i="4"/>
  <c r="Z233" i="5" s="1"/>
  <c r="AK245" i="8" s="1"/>
  <c r="R183" i="4"/>
  <c r="Z271" i="5" s="1"/>
  <c r="AK279" i="8" s="1"/>
  <c r="W372" i="4"/>
  <c r="AG356" i="5" s="1"/>
  <c r="W359" i="4"/>
  <c r="AG363" i="5" s="1"/>
  <c r="W362" i="4"/>
  <c r="AG373" i="5" s="1"/>
  <c r="W363" i="4"/>
  <c r="AG372" i="5" s="1"/>
  <c r="W371" i="4"/>
  <c r="AG355" i="5" s="1"/>
  <c r="W361" i="4"/>
  <c r="AG371" i="5" s="1"/>
  <c r="W352" i="4"/>
  <c r="AG358" i="5" s="1"/>
  <c r="W364" i="4"/>
  <c r="AG359" i="5" s="1"/>
  <c r="W353" i="4"/>
  <c r="AG360" i="5" s="1"/>
  <c r="BI94" i="2"/>
  <c r="BI93" i="2"/>
  <c r="W357" i="4"/>
  <c r="AG361" i="5" s="1"/>
  <c r="W355" i="4"/>
  <c r="AG362" i="5" s="1"/>
  <c r="W354" i="4"/>
  <c r="AG370" i="5" s="1"/>
  <c r="X282" i="4"/>
  <c r="AI222" i="5" s="1"/>
  <c r="AN235" i="8" s="1"/>
  <c r="AZ235" i="8" s="1"/>
  <c r="P235" i="8" s="1"/>
  <c r="X74" i="4"/>
  <c r="AI208" i="5" s="1"/>
  <c r="AN223" i="8" s="1"/>
  <c r="AZ223" i="8" s="1"/>
  <c r="P223" i="8" s="1"/>
  <c r="X19" i="4"/>
  <c r="AI186" i="5" s="1"/>
  <c r="AN206" i="8" s="1"/>
  <c r="AZ206" i="8" s="1"/>
  <c r="X407" i="4"/>
  <c r="AI395" i="5" s="1"/>
  <c r="AN388" i="8" s="1"/>
  <c r="AZ388" i="8" s="1"/>
  <c r="P388" i="8" s="1"/>
  <c r="W192" i="8"/>
  <c r="AT169" i="5"/>
  <c r="O266" i="4"/>
  <c r="U7" i="5" s="1"/>
  <c r="O202" i="4"/>
  <c r="U36" i="5" s="1"/>
  <c r="O196" i="4"/>
  <c r="U8" i="5" s="1"/>
  <c r="O238" i="4"/>
  <c r="U105" i="5" s="1"/>
  <c r="O94" i="4"/>
  <c r="U120" i="5" s="1"/>
  <c r="O121" i="4"/>
  <c r="U113" i="5" s="1"/>
  <c r="O247" i="4"/>
  <c r="U231" i="5" s="1"/>
  <c r="O251" i="4"/>
  <c r="U280" i="5" s="1"/>
  <c r="J129" i="4"/>
  <c r="J191" i="4"/>
  <c r="J190" i="4"/>
  <c r="L71" i="4"/>
  <c r="Q190" i="5" s="1"/>
  <c r="AH17" i="8" s="1"/>
  <c r="AT17" i="8" s="1"/>
  <c r="J17" i="8" s="1"/>
  <c r="L73" i="4"/>
  <c r="Q192" i="5" s="1"/>
  <c r="AH211" i="8" s="1"/>
  <c r="AT211" i="8" s="1"/>
  <c r="J211" i="8" s="1"/>
  <c r="L99" i="4"/>
  <c r="Q166" i="5" s="1"/>
  <c r="AH189" i="8" s="1"/>
  <c r="AT189" i="8" s="1"/>
  <c r="J189" i="8" s="1"/>
  <c r="L222" i="4"/>
  <c r="Q269" i="5" s="1"/>
  <c r="AH277" i="8" s="1"/>
  <c r="AT277" i="8" s="1"/>
  <c r="J277" i="8" s="1"/>
  <c r="N318" i="4"/>
  <c r="T306" i="5" s="1"/>
  <c r="AI308" i="8" s="1"/>
  <c r="N337" i="4"/>
  <c r="T321" i="5" s="1"/>
  <c r="AI323" i="8" s="1"/>
  <c r="N328" i="4"/>
  <c r="T344" i="5" s="1"/>
  <c r="AI344" i="8" s="1"/>
  <c r="N327" i="4"/>
  <c r="T343" i="5" s="1"/>
  <c r="AI343" i="8" s="1"/>
  <c r="AU343" i="8" s="1"/>
  <c r="N333" i="4"/>
  <c r="T350" i="5" s="1"/>
  <c r="AI350" i="8" s="1"/>
  <c r="N326" i="4"/>
  <c r="T342" i="5" s="1"/>
  <c r="AI342" i="8" s="1"/>
  <c r="N346" i="4"/>
  <c r="T340" i="5" s="1"/>
  <c r="AI340" i="8" s="1"/>
  <c r="AN384" i="5"/>
  <c r="AB381" i="8"/>
  <c r="AY384" i="5"/>
  <c r="AL53" i="2"/>
  <c r="AT386" i="5"/>
  <c r="M73" i="4"/>
  <c r="R192" i="5" s="1"/>
  <c r="M222" i="4"/>
  <c r="R269" i="5" s="1"/>
  <c r="R116" i="8"/>
  <c r="AP116" i="8" s="1"/>
  <c r="L180" i="4"/>
  <c r="Q87" i="5" s="1"/>
  <c r="AH116" i="8" s="1"/>
  <c r="AT116" i="8" s="1"/>
  <c r="J116" i="8" s="1"/>
  <c r="J253" i="4"/>
  <c r="J79" i="4"/>
  <c r="J110" i="4"/>
  <c r="J31" i="4"/>
  <c r="E31" i="4"/>
  <c r="E253" i="4"/>
  <c r="N315" i="4"/>
  <c r="T316" i="5" s="1"/>
  <c r="AI318" i="8" s="1"/>
  <c r="N309" i="4"/>
  <c r="T308" i="5" s="1"/>
  <c r="AI310" i="8" s="1"/>
  <c r="N314" i="4"/>
  <c r="T313" i="5" s="1"/>
  <c r="AI315" i="8" s="1"/>
  <c r="N339" i="4"/>
  <c r="T319" i="5" s="1"/>
  <c r="AI321" i="8" s="1"/>
  <c r="N316" i="4"/>
  <c r="T318" i="5" s="1"/>
  <c r="AI320" i="8" s="1"/>
  <c r="N307" i="4"/>
  <c r="T317" i="5" s="1"/>
  <c r="AI319" i="8" s="1"/>
  <c r="T276" i="4" a="1"/>
  <c r="T276" i="4" s="1"/>
  <c r="AC302" i="5" s="1"/>
  <c r="T211" i="4" a="1"/>
  <c r="T211" i="4" s="1"/>
  <c r="AC22" i="5" s="1"/>
  <c r="AL55" i="8" s="1"/>
  <c r="T233" i="4" a="1"/>
  <c r="T233" i="4" s="1"/>
  <c r="AC29" i="5" s="1"/>
  <c r="AL61" i="8" s="1"/>
  <c r="AX61" i="8" s="1"/>
  <c r="N61" i="8" s="1"/>
  <c r="T214" i="4" a="1"/>
  <c r="T214" i="4" s="1"/>
  <c r="AC25" i="5" s="1"/>
  <c r="AL58" i="8" s="1"/>
  <c r="T215" i="4" a="1"/>
  <c r="T215" i="4" s="1"/>
  <c r="AC26" i="5" s="1"/>
  <c r="AL59" i="8" s="1"/>
  <c r="T234" i="4" a="1"/>
  <c r="T234" i="4" s="1"/>
  <c r="AC30" i="5" s="1"/>
  <c r="AL62" i="8" s="1"/>
  <c r="AX62" i="8" s="1"/>
  <c r="N62" i="8" s="1"/>
  <c r="T46" i="4" a="1"/>
  <c r="T46" i="4" s="1"/>
  <c r="AC32" i="5" s="1"/>
  <c r="AL63" i="8" s="1"/>
  <c r="T62" i="4" a="1"/>
  <c r="T62" i="4" s="1"/>
  <c r="AC109" i="5" s="1"/>
  <c r="AL138" i="8" s="1"/>
  <c r="T250" i="4" a="1"/>
  <c r="T250" i="4" s="1"/>
  <c r="AC103" i="5" s="1"/>
  <c r="AL132" i="8" s="1"/>
  <c r="T141" i="4" a="1"/>
  <c r="T141" i="4" s="1"/>
  <c r="AC123" i="5" s="1"/>
  <c r="AL9" i="8" s="1"/>
  <c r="T84" i="4" a="1"/>
  <c r="T84" i="4" s="1"/>
  <c r="AC160" i="5" s="1"/>
  <c r="AL183" i="8" s="1"/>
  <c r="T131" i="4" a="1"/>
  <c r="T131" i="4" s="1"/>
  <c r="AC199" i="5" s="1"/>
  <c r="AL218" i="8" s="1"/>
  <c r="T70" i="4" a="1"/>
  <c r="T70" i="4" s="1"/>
  <c r="AC172" i="5" s="1"/>
  <c r="AL14" i="8" s="1"/>
  <c r="AX14" i="8" s="1"/>
  <c r="N14" i="8" s="1"/>
  <c r="T83" i="4" a="1"/>
  <c r="T83" i="4" s="1"/>
  <c r="AC159" i="5" s="1"/>
  <c r="AL13" i="8" s="1"/>
  <c r="T75" i="4" a="1"/>
  <c r="T75" i="4" s="1"/>
  <c r="AC250" i="5" s="1"/>
  <c r="AL260" i="8" s="1"/>
  <c r="AX260" i="8" s="1"/>
  <c r="T155" i="4" a="1"/>
  <c r="T155" i="4" s="1"/>
  <c r="AC209" i="5" s="1"/>
  <c r="AL224" i="8" s="1"/>
  <c r="M72" i="4"/>
  <c r="R191" i="5" s="1"/>
  <c r="X276" i="4"/>
  <c r="AI302" i="5" s="1"/>
  <c r="F13" i="4"/>
  <c r="W129" i="4"/>
  <c r="AG283" i="5" s="1"/>
  <c r="N97" i="4"/>
  <c r="T130" i="5" s="1"/>
  <c r="M64" i="4"/>
  <c r="R3" i="5" s="1"/>
  <c r="T220" i="4" a="1"/>
  <c r="T220" i="4" s="1"/>
  <c r="AC9" i="5" s="1"/>
  <c r="AL45" i="8" s="1"/>
  <c r="D49" i="4"/>
  <c r="E34" i="5" s="1"/>
  <c r="F140" i="4"/>
  <c r="H14" i="5" s="1"/>
  <c r="U214" i="4" a="1"/>
  <c r="U214" i="4" s="1"/>
  <c r="AD25" i="5" s="1"/>
  <c r="T202" i="4" a="1"/>
  <c r="T202" i="4" s="1"/>
  <c r="AC36" i="5" s="1"/>
  <c r="AL67" i="8" s="1"/>
  <c r="T272" i="4" a="1"/>
  <c r="T272" i="4" s="1"/>
  <c r="AC50" i="5" s="1"/>
  <c r="AL79" i="8" s="1"/>
  <c r="M50" i="4"/>
  <c r="R38" i="5" s="1"/>
  <c r="T54" i="4" a="1"/>
  <c r="T54" i="4" s="1"/>
  <c r="AC47" i="5" s="1"/>
  <c r="AL78" i="8" s="1"/>
  <c r="Z293" i="4"/>
  <c r="AL89" i="5" s="1"/>
  <c r="S111" i="4"/>
  <c r="AA94" i="5" s="1"/>
  <c r="U90" i="4" a="1"/>
  <c r="U90" i="4" s="1"/>
  <c r="AD82" i="5" s="1"/>
  <c r="D206" i="4"/>
  <c r="E71" i="5" s="1"/>
  <c r="L141" i="4"/>
  <c r="Q123" i="5" s="1"/>
  <c r="AH9" i="8" s="1"/>
  <c r="AT9" i="8" s="1"/>
  <c r="J9" i="8" s="1"/>
  <c r="D37" i="4"/>
  <c r="E62" i="5" s="1"/>
  <c r="U91" i="4" a="1"/>
  <c r="U91" i="4" s="1"/>
  <c r="AD92" i="5" s="1"/>
  <c r="U136" i="4" a="1"/>
  <c r="U136" i="4" s="1"/>
  <c r="AD84" i="5" s="1"/>
  <c r="U286" i="4" a="1"/>
  <c r="U286" i="4" s="1"/>
  <c r="AD108" i="5" s="1"/>
  <c r="F242" i="4"/>
  <c r="H146" i="5" s="1"/>
  <c r="L78" i="4"/>
  <c r="Q121" i="5" s="1"/>
  <c r="AH149" i="8" s="1"/>
  <c r="AT149" i="8" s="1"/>
  <c r="J149" i="8" s="1"/>
  <c r="P188" i="4"/>
  <c r="W152" i="5" s="1"/>
  <c r="AJ176" i="8" s="1"/>
  <c r="U94" i="4" a="1"/>
  <c r="U94" i="4" s="1"/>
  <c r="AD120" i="5" s="1"/>
  <c r="D261" i="4"/>
  <c r="E96" i="5" s="1"/>
  <c r="Y80" i="4"/>
  <c r="AJ134" i="5" s="1"/>
  <c r="Z80" i="4"/>
  <c r="AL134" i="5" s="1"/>
  <c r="Q96" i="4"/>
  <c r="X122" i="5" s="1"/>
  <c r="T78" i="4" a="1"/>
  <c r="T78" i="4" s="1"/>
  <c r="AC121" i="5" s="1"/>
  <c r="AL149" i="8" s="1"/>
  <c r="AX149" i="8" s="1"/>
  <c r="N149" i="8" s="1"/>
  <c r="Y67" i="4"/>
  <c r="AJ164" i="5" s="1"/>
  <c r="Y83" i="4"/>
  <c r="AJ159" i="5" s="1"/>
  <c r="Z68" i="4"/>
  <c r="AL165" i="5" s="1"/>
  <c r="U80" i="4" a="1"/>
  <c r="U80" i="4" s="1"/>
  <c r="AD134" i="5" s="1"/>
  <c r="I67" i="4"/>
  <c r="L164" i="5" s="1"/>
  <c r="U253" i="4" a="1"/>
  <c r="U253" i="4" s="1"/>
  <c r="AD168" i="5" s="1"/>
  <c r="AA205" i="8"/>
  <c r="AX185" i="5"/>
  <c r="U300" i="4" a="1"/>
  <c r="U300" i="4" s="1"/>
  <c r="AD153" i="5" s="1"/>
  <c r="M290" i="4"/>
  <c r="R140" i="5" s="1"/>
  <c r="O231" i="4"/>
  <c r="U221" i="5" s="1"/>
  <c r="T9" i="4" a="1"/>
  <c r="T9" i="4" s="1"/>
  <c r="AC188" i="5" s="1"/>
  <c r="U288" i="4" a="1"/>
  <c r="U288" i="4" s="1"/>
  <c r="AD214" i="5" s="1"/>
  <c r="O216" i="4"/>
  <c r="U223" i="5" s="1"/>
  <c r="T7" i="4" a="1"/>
  <c r="T7" i="4" s="1"/>
  <c r="AC176" i="5" s="1"/>
  <c r="T126" i="4" a="1"/>
  <c r="T126" i="4" s="1"/>
  <c r="AC162" i="5" s="1"/>
  <c r="AL185" i="8" s="1"/>
  <c r="AX185" i="8" s="1"/>
  <c r="N185" i="8" s="1"/>
  <c r="T72" i="4" a="1"/>
  <c r="T72" i="4" s="1"/>
  <c r="AC191" i="5" s="1"/>
  <c r="AL210" i="8" s="1"/>
  <c r="AX210" i="8" s="1"/>
  <c r="N210" i="8" s="1"/>
  <c r="P17" i="4"/>
  <c r="W184" i="5" s="1"/>
  <c r="AJ204" i="8" s="1"/>
  <c r="AV204" i="8" s="1"/>
  <c r="L204" i="8" s="1"/>
  <c r="Z197" i="4"/>
  <c r="AL234" i="5" s="1"/>
  <c r="D199" i="4"/>
  <c r="E243" i="5" s="1"/>
  <c r="L66" i="4"/>
  <c r="Q277" i="5" s="1"/>
  <c r="AH285" i="8" s="1"/>
  <c r="AT285" i="8" s="1"/>
  <c r="J285" i="8" s="1"/>
  <c r="U263" i="4" a="1"/>
  <c r="U263" i="4" s="1"/>
  <c r="AD289" i="5" s="1"/>
  <c r="X132" i="4"/>
  <c r="AI294" i="5" s="1"/>
  <c r="AN301" i="8" s="1"/>
  <c r="AZ301" i="8" s="1"/>
  <c r="P301" i="8" s="1"/>
  <c r="Y57" i="4"/>
  <c r="AJ257" i="5" s="1"/>
  <c r="Q281" i="4"/>
  <c r="X292" i="5" s="1"/>
  <c r="T10" i="4" a="1"/>
  <c r="T10" i="4" s="1"/>
  <c r="AC254" i="5" s="1"/>
  <c r="AL26" i="8" s="1"/>
  <c r="U63" i="4" a="1"/>
  <c r="U63" i="4" s="1"/>
  <c r="AD270" i="5" s="1"/>
  <c r="M235" i="4"/>
  <c r="R253" i="5" s="1"/>
  <c r="U112" i="4" a="1"/>
  <c r="U112" i="4" s="1"/>
  <c r="AD274" i="5" s="1"/>
  <c r="O95" i="4"/>
  <c r="U273" i="5" s="1"/>
  <c r="U256" i="4" a="1"/>
  <c r="U256" i="4" s="1"/>
  <c r="AD213" i="5" s="1"/>
  <c r="P201" i="4"/>
  <c r="W249" i="5" s="1"/>
  <c r="AJ259" i="8" s="1"/>
  <c r="T287" i="4" a="1"/>
  <c r="T287" i="4" s="1"/>
  <c r="AC287" i="5" s="1"/>
  <c r="AL294" i="8" s="1"/>
  <c r="U370" i="4"/>
  <c r="AD354" i="5" s="1"/>
  <c r="P333" i="4"/>
  <c r="W350" i="5" s="1"/>
  <c r="AJ350" i="8" s="1"/>
  <c r="C132" i="4"/>
  <c r="C294" i="5" s="1"/>
  <c r="P358" i="4"/>
  <c r="W352" i="5" s="1"/>
  <c r="AJ351" i="8" s="1"/>
  <c r="Y368" i="4"/>
  <c r="AJ369" i="5" s="1"/>
  <c r="M356" i="4"/>
  <c r="R366" i="5" s="1"/>
  <c r="T269" i="4" a="1"/>
  <c r="T269" i="4" s="1"/>
  <c r="AC2" i="5" s="1"/>
  <c r="AL39" i="8" s="1"/>
  <c r="J84" i="8"/>
  <c r="AZ307" i="5"/>
  <c r="AC309" i="8"/>
  <c r="Z238" i="8"/>
  <c r="AW225" i="5"/>
  <c r="Q203" i="4"/>
  <c r="Q225" i="4"/>
  <c r="X196" i="5" s="1"/>
  <c r="Z312" i="4"/>
  <c r="AL311" i="5" s="1"/>
  <c r="Z313" i="4"/>
  <c r="AL312" i="5" s="1"/>
  <c r="Z310" i="4"/>
  <c r="AL309" i="5" s="1"/>
  <c r="BL91" i="2"/>
  <c r="BL90" i="2"/>
  <c r="E382" i="4"/>
  <c r="E374" i="4"/>
  <c r="E380" i="4"/>
  <c r="E381" i="4"/>
  <c r="E383" i="4"/>
  <c r="E375" i="4"/>
  <c r="E376" i="4"/>
  <c r="E377" i="4"/>
  <c r="E378" i="4"/>
  <c r="E379" i="4"/>
  <c r="E184" i="4"/>
  <c r="F132" i="5" s="1"/>
  <c r="E137" i="4"/>
  <c r="E176" i="4"/>
  <c r="E209" i="4"/>
  <c r="E236" i="4"/>
  <c r="E240" i="4"/>
  <c r="E181" i="4"/>
  <c r="E182" i="4"/>
  <c r="E120" i="4"/>
  <c r="E219" i="4"/>
  <c r="E127" i="4"/>
  <c r="M311" i="4"/>
  <c r="R310" i="5" s="1"/>
  <c r="M324" i="4"/>
  <c r="R327" i="5" s="1"/>
  <c r="AL55" i="2"/>
  <c r="AT20" i="5"/>
  <c r="F332" i="4"/>
  <c r="F304" i="4"/>
  <c r="F338" i="4"/>
  <c r="F340" i="4"/>
  <c r="T377" i="4"/>
  <c r="AC377" i="5" s="1"/>
  <c r="AL373" i="8" s="1"/>
  <c r="T375" i="4"/>
  <c r="AC375" i="5" s="1"/>
  <c r="AL371" i="8" s="1"/>
  <c r="T378" i="4"/>
  <c r="AC378" i="5" s="1"/>
  <c r="AL374" i="8" s="1"/>
  <c r="T376" i="4"/>
  <c r="AC376" i="5" s="1"/>
  <c r="AL372" i="8" s="1"/>
  <c r="T381" i="4"/>
  <c r="AC381" i="5" s="1"/>
  <c r="AL377" i="8" s="1"/>
  <c r="T380" i="4"/>
  <c r="AC380" i="5" s="1"/>
  <c r="AL376" i="8" s="1"/>
  <c r="T379" i="4"/>
  <c r="AC379" i="5" s="1"/>
  <c r="AL375" i="8" s="1"/>
  <c r="H367" i="4"/>
  <c r="K368" i="5" s="1"/>
  <c r="AF366" i="8" s="1"/>
  <c r="AR366" i="8" s="1"/>
  <c r="H366" i="8" s="1"/>
  <c r="H368" i="4"/>
  <c r="K369" i="5" s="1"/>
  <c r="AF367" i="8" s="1"/>
  <c r="AR367" i="8" s="1"/>
  <c r="H367" i="8" s="1"/>
  <c r="H366" i="4"/>
  <c r="K367" i="5" s="1"/>
  <c r="AF365" i="8" s="1"/>
  <c r="AR365" i="8" s="1"/>
  <c r="H365" i="8" s="1"/>
  <c r="H370" i="4"/>
  <c r="K354" i="5" s="1"/>
  <c r="AF353" i="8" s="1"/>
  <c r="AR353" i="8" s="1"/>
  <c r="H353" i="8" s="1"/>
  <c r="H365" i="4"/>
  <c r="K365" i="5" s="1"/>
  <c r="AF363" i="8" s="1"/>
  <c r="AR363" i="8" s="1"/>
  <c r="H363" i="8" s="1"/>
  <c r="H360" i="4"/>
  <c r="K364" i="5" s="1"/>
  <c r="AF362" i="8" s="1"/>
  <c r="AR362" i="8" s="1"/>
  <c r="H362" i="8" s="1"/>
  <c r="H358" i="4"/>
  <c r="K352" i="5" s="1"/>
  <c r="AF351" i="8" s="1"/>
  <c r="AR351" i="8" s="1"/>
  <c r="H351" i="8" s="1"/>
  <c r="H369" i="4"/>
  <c r="K353" i="5" s="1"/>
  <c r="AF352" i="8" s="1"/>
  <c r="AR352" i="8" s="1"/>
  <c r="H352" i="8" s="1"/>
  <c r="H356" i="4"/>
  <c r="K366" i="5" s="1"/>
  <c r="AL80" i="2"/>
  <c r="W308" i="8"/>
  <c r="AT306" i="5"/>
  <c r="BA305" i="5"/>
  <c r="AO307" i="8"/>
  <c r="E246" i="4"/>
  <c r="F230" i="5" s="1"/>
  <c r="E194" i="4"/>
  <c r="F27" i="5" s="1"/>
  <c r="E122" i="4"/>
  <c r="F141" i="5" s="1"/>
  <c r="C119" i="4"/>
  <c r="C241" i="5" s="1"/>
  <c r="C216" i="4"/>
  <c r="C223" i="5" s="1"/>
  <c r="AY107" i="5"/>
  <c r="AB136" i="8"/>
  <c r="Y305" i="8"/>
  <c r="I304" i="4"/>
  <c r="L304" i="5" s="1"/>
  <c r="I332" i="4"/>
  <c r="L349" i="5" s="1"/>
  <c r="I340" i="4"/>
  <c r="L331" i="5" s="1"/>
  <c r="AC238" i="8"/>
  <c r="AZ225" i="5"/>
  <c r="Z307" i="8"/>
  <c r="AW305" i="5"/>
  <c r="BI91" i="2"/>
  <c r="BI90" i="2"/>
  <c r="J196" i="4"/>
  <c r="J94" i="4"/>
  <c r="J266" i="4"/>
  <c r="J64" i="4"/>
  <c r="J238" i="4"/>
  <c r="J251" i="4"/>
  <c r="J121" i="4"/>
  <c r="J202" i="4"/>
  <c r="J247" i="4"/>
  <c r="J186" i="4"/>
  <c r="R269" i="4"/>
  <c r="R142" i="4"/>
  <c r="R267" i="4"/>
  <c r="R97" i="4"/>
  <c r="R369" i="4"/>
  <c r="R370" i="4"/>
  <c r="R356" i="4"/>
  <c r="R358" i="4"/>
  <c r="R367" i="4"/>
  <c r="R365" i="4"/>
  <c r="R366" i="4"/>
  <c r="R368" i="4"/>
  <c r="R360" i="4"/>
  <c r="Y265" i="4"/>
  <c r="AJ6" i="5" s="1"/>
  <c r="Y221" i="4"/>
  <c r="AJ80" i="5" s="1"/>
  <c r="Y296" i="4"/>
  <c r="AJ156" i="5" s="1"/>
  <c r="Y11" i="4"/>
  <c r="AJ255" i="5" s="1"/>
  <c r="Y112" i="4"/>
  <c r="AJ274" i="5" s="1"/>
  <c r="Y279" i="4"/>
  <c r="AJ286" i="5" s="1"/>
  <c r="Y263" i="4"/>
  <c r="AJ289" i="5" s="1"/>
  <c r="I15" i="4"/>
  <c r="L181" i="5" s="1"/>
  <c r="I297" i="4"/>
  <c r="L272" i="5" s="1"/>
  <c r="I111" i="4"/>
  <c r="N229" i="4"/>
  <c r="T28" i="5" s="1"/>
  <c r="AI4" i="8" s="1"/>
  <c r="N29" i="4"/>
  <c r="T268" i="5" s="1"/>
  <c r="AI276" i="8" s="1"/>
  <c r="D312" i="4"/>
  <c r="E311" i="5" s="1"/>
  <c r="D313" i="4"/>
  <c r="E312" i="5" s="1"/>
  <c r="D310" i="4"/>
  <c r="E309" i="5" s="1"/>
  <c r="D349" i="4"/>
  <c r="E335" i="5" s="1"/>
  <c r="AP90" i="2"/>
  <c r="AP91" i="2"/>
  <c r="E35" i="4"/>
  <c r="F173" i="5" s="1"/>
  <c r="E408" i="4"/>
  <c r="E207" i="4"/>
  <c r="E259" i="4"/>
  <c r="E113" i="4"/>
  <c r="E397" i="4"/>
  <c r="E135" i="4"/>
  <c r="E416" i="4"/>
  <c r="E406" i="4"/>
  <c r="O194" i="4"/>
  <c r="U27" i="5" s="1"/>
  <c r="O122" i="4"/>
  <c r="U141" i="5" s="1"/>
  <c r="H141" i="4"/>
  <c r="K123" i="5" s="1"/>
  <c r="AF9" i="8" s="1"/>
  <c r="AR9" i="8" s="1"/>
  <c r="H9" i="8" s="1"/>
  <c r="H159" i="4"/>
  <c r="K215" i="5" s="1"/>
  <c r="H161" i="4"/>
  <c r="K217" i="5" s="1"/>
  <c r="AF230" i="8" s="1"/>
  <c r="AR230" i="8" s="1"/>
  <c r="H230" i="8" s="1"/>
  <c r="H95" i="4"/>
  <c r="K273" i="5" s="1"/>
  <c r="AF281" i="8" s="1"/>
  <c r="AR281" i="8" s="1"/>
  <c r="H281" i="8" s="1"/>
  <c r="E4" i="4"/>
  <c r="F174" i="5" s="1"/>
  <c r="E179" i="4"/>
  <c r="E102" i="4"/>
  <c r="E61" i="4"/>
  <c r="AQ84" i="2"/>
  <c r="AQ85" i="2"/>
  <c r="Y353" i="4"/>
  <c r="AJ360" i="5" s="1"/>
  <c r="Y364" i="4"/>
  <c r="AJ359" i="5" s="1"/>
  <c r="Y373" i="4"/>
  <c r="AJ357" i="5" s="1"/>
  <c r="Y372" i="4"/>
  <c r="AJ356" i="5" s="1"/>
  <c r="Y352" i="4"/>
  <c r="AJ358" i="5" s="1"/>
  <c r="Y363" i="4"/>
  <c r="AJ372" i="5" s="1"/>
  <c r="Y362" i="4"/>
  <c r="AJ373" i="5" s="1"/>
  <c r="Y357" i="4"/>
  <c r="AJ361" i="5" s="1"/>
  <c r="Y361" i="4"/>
  <c r="AJ371" i="5" s="1"/>
  <c r="Y354" i="4"/>
  <c r="BK94" i="2"/>
  <c r="BK93" i="2"/>
  <c r="Y371" i="4"/>
  <c r="AJ355" i="5" s="1"/>
  <c r="D144" i="4"/>
  <c r="E155" i="5" s="1"/>
  <c r="AD179" i="8" s="1"/>
  <c r="D161" i="4"/>
  <c r="E217" i="5" s="1"/>
  <c r="AD230" i="8" s="1"/>
  <c r="D95" i="4"/>
  <c r="E273" i="5" s="1"/>
  <c r="AD281" i="8" s="1"/>
  <c r="J115" i="4"/>
  <c r="J116" i="4"/>
  <c r="J69" i="4"/>
  <c r="J201" i="4"/>
  <c r="J153" i="4"/>
  <c r="D15" i="4"/>
  <c r="E181" i="5" s="1"/>
  <c r="AD202" i="8" s="1"/>
  <c r="D297" i="4"/>
  <c r="E272" i="5" s="1"/>
  <c r="AD280" i="8" s="1"/>
  <c r="AC10" i="2"/>
  <c r="AD88" i="8"/>
  <c r="AP59" i="5"/>
  <c r="E212" i="4"/>
  <c r="E148" i="4"/>
  <c r="E147" i="4"/>
  <c r="E210" i="4"/>
  <c r="X291" i="4"/>
  <c r="AI101" i="5" s="1"/>
  <c r="AN130" i="8" s="1"/>
  <c r="X292" i="4"/>
  <c r="AI143" i="5" s="1"/>
  <c r="AN168" i="8" s="1"/>
  <c r="X252" i="4"/>
  <c r="AI157" i="5" s="1"/>
  <c r="AN181" i="8" s="1"/>
  <c r="AZ181" i="8" s="1"/>
  <c r="P181" i="8" s="1"/>
  <c r="Q294" i="4"/>
  <c r="X144" i="5" s="1"/>
  <c r="Q226" i="4"/>
  <c r="X197" i="5" s="1"/>
  <c r="Q301" i="4"/>
  <c r="X189" i="5" s="1"/>
  <c r="Q264" i="4"/>
  <c r="X198" i="5" s="1"/>
  <c r="Q255" i="4"/>
  <c r="X195" i="5" s="1"/>
  <c r="R408" i="4"/>
  <c r="Z401" i="5" s="1"/>
  <c r="R416" i="4"/>
  <c r="Z400" i="5" s="1"/>
  <c r="R113" i="4"/>
  <c r="R406" i="4"/>
  <c r="Z416" i="5" s="1"/>
  <c r="AW416" i="5" s="1"/>
  <c r="R397" i="4"/>
  <c r="Z399" i="5" s="1"/>
  <c r="R259" i="4"/>
  <c r="R135" i="4"/>
  <c r="R67" i="4"/>
  <c r="R207" i="4"/>
  <c r="Q45" i="4"/>
  <c r="X31" i="5" s="1"/>
  <c r="Q47" i="4"/>
  <c r="X33" i="5" s="1"/>
  <c r="Q5" i="4"/>
  <c r="X61" i="5" s="1"/>
  <c r="Q34" i="4"/>
  <c r="X149" i="5" s="1"/>
  <c r="Q7" i="4"/>
  <c r="X176" i="5" s="1"/>
  <c r="Q9" i="4"/>
  <c r="X188" i="5" s="1"/>
  <c r="Q48" i="4"/>
  <c r="X233" i="5" s="1"/>
  <c r="Q183" i="4"/>
  <c r="X271" i="5" s="1"/>
  <c r="Y98" i="8"/>
  <c r="AV69" i="5"/>
  <c r="L297" i="4"/>
  <c r="Q272" i="5" s="1"/>
  <c r="AH280" i="8" s="1"/>
  <c r="AT280" i="8" s="1"/>
  <c r="J280" i="8" s="1"/>
  <c r="L411" i="4"/>
  <c r="Q411" i="5" s="1"/>
  <c r="W198" i="4"/>
  <c r="AG235" i="5" s="1"/>
  <c r="W227" i="4"/>
  <c r="AG203" i="5" s="1"/>
  <c r="AL21" i="2"/>
  <c r="AT90" i="5"/>
  <c r="AH119" i="8"/>
  <c r="L262" i="4"/>
  <c r="Q4" i="5" s="1"/>
  <c r="AH41" i="8" s="1"/>
  <c r="AT41" i="8" s="1"/>
  <c r="J41" i="8" s="1"/>
  <c r="L130" i="4"/>
  <c r="Q5" i="5" s="1"/>
  <c r="AH2" i="8" s="1"/>
  <c r="AT2" i="8" s="1"/>
  <c r="L22" i="4"/>
  <c r="Q12" i="5" s="1"/>
  <c r="AH3" i="8" s="1"/>
  <c r="AT3" i="8" s="1"/>
  <c r="J3" i="8" s="1"/>
  <c r="L59" i="4"/>
  <c r="Q45" i="5" s="1"/>
  <c r="AH76" i="8" s="1"/>
  <c r="AT76" i="8" s="1"/>
  <c r="J76" i="8" s="1"/>
  <c r="L89" i="4"/>
  <c r="Q48" i="5" s="1"/>
  <c r="AH6" i="8" s="1"/>
  <c r="AT6" i="8" s="1"/>
  <c r="J6" i="8" s="1"/>
  <c r="L299" i="4"/>
  <c r="Q154" i="5" s="1"/>
  <c r="AH178" i="8" s="1"/>
  <c r="AT178" i="8" s="1"/>
  <c r="J178" i="8" s="1"/>
  <c r="L395" i="4"/>
  <c r="Q397" i="5" s="1"/>
  <c r="L404" i="4"/>
  <c r="Q394" i="5" s="1"/>
  <c r="L399" i="4"/>
  <c r="Q406" i="5" s="1"/>
  <c r="L396" i="4"/>
  <c r="Q398" i="5" s="1"/>
  <c r="L394" i="4"/>
  <c r="Q396" i="5" s="1"/>
  <c r="J152" i="4"/>
  <c r="N205" i="5" s="1"/>
  <c r="J151" i="4"/>
  <c r="L212" i="4"/>
  <c r="Q23" i="5" s="1"/>
  <c r="AH56" i="8" s="1"/>
  <c r="L148" i="4"/>
  <c r="Q200" i="5" s="1"/>
  <c r="AH18" i="8" s="1"/>
  <c r="AT18" i="8" s="1"/>
  <c r="J18" i="8" s="1"/>
  <c r="L147" i="4"/>
  <c r="Q293" i="5" s="1"/>
  <c r="AH300" i="8" s="1"/>
  <c r="AT300" i="8" s="1"/>
  <c r="J300" i="8" s="1"/>
  <c r="J47" i="4"/>
  <c r="J49" i="4"/>
  <c r="J48" i="4"/>
  <c r="J46" i="4"/>
  <c r="J183" i="4"/>
  <c r="J45" i="4"/>
  <c r="J142" i="4"/>
  <c r="J269" i="4"/>
  <c r="J97" i="4"/>
  <c r="J267" i="4"/>
  <c r="Z372" i="4"/>
  <c r="AL356" i="5" s="1"/>
  <c r="Z352" i="4"/>
  <c r="AL358" i="5" s="1"/>
  <c r="Z363" i="4"/>
  <c r="AL372" i="5" s="1"/>
  <c r="Z362" i="4"/>
  <c r="AL373" i="5" s="1"/>
  <c r="Z353" i="4"/>
  <c r="Z354" i="4"/>
  <c r="Z364" i="4"/>
  <c r="BL94" i="2"/>
  <c r="BL93" i="2"/>
  <c r="Z355" i="4"/>
  <c r="AL362" i="5" s="1"/>
  <c r="Z361" i="4"/>
  <c r="AL371" i="5" s="1"/>
  <c r="Z357" i="4"/>
  <c r="AL361" i="5" s="1"/>
  <c r="R155" i="4"/>
  <c r="R83" i="4"/>
  <c r="R84" i="4"/>
  <c r="R82" i="4"/>
  <c r="R288" i="4"/>
  <c r="R157" i="4"/>
  <c r="R193" i="4"/>
  <c r="R158" i="4"/>
  <c r="R223" i="4"/>
  <c r="R156" i="4"/>
  <c r="I188" i="4"/>
  <c r="I192" i="4"/>
  <c r="I128" i="4"/>
  <c r="I146" i="4"/>
  <c r="I149" i="4"/>
  <c r="I117" i="4"/>
  <c r="Y45" i="4"/>
  <c r="AJ31" i="5" s="1"/>
  <c r="Y47" i="4"/>
  <c r="AJ33" i="5" s="1"/>
  <c r="Y5" i="4"/>
  <c r="AJ61" i="5" s="1"/>
  <c r="Y34" i="4"/>
  <c r="AJ149" i="5" s="1"/>
  <c r="Y9" i="4"/>
  <c r="AJ188" i="5" s="1"/>
  <c r="Y7" i="4"/>
  <c r="AJ176" i="5" s="1"/>
  <c r="Y48" i="4"/>
  <c r="AJ233" i="5" s="1"/>
  <c r="Y183" i="4"/>
  <c r="AJ271" i="5" s="1"/>
  <c r="AZ69" i="5"/>
  <c r="AC98" i="8"/>
  <c r="AC84" i="8"/>
  <c r="AZ55" i="5"/>
  <c r="AC272" i="8"/>
  <c r="AZ263" i="5"/>
  <c r="AR138" i="5"/>
  <c r="AF163" i="8"/>
  <c r="AR163" i="8" s="1"/>
  <c r="H163" i="8" s="1"/>
  <c r="H248" i="4"/>
  <c r="K76" i="5" s="1"/>
  <c r="H268" i="4"/>
  <c r="K100" i="5" s="1"/>
  <c r="H291" i="4"/>
  <c r="K101" i="5" s="1"/>
  <c r="AF130" i="8" s="1"/>
  <c r="AR130" i="8" s="1"/>
  <c r="H130" i="8" s="1"/>
  <c r="H292" i="4"/>
  <c r="K143" i="5" s="1"/>
  <c r="H252" i="4"/>
  <c r="K157" i="5" s="1"/>
  <c r="H243" i="4"/>
  <c r="K193" i="5" s="1"/>
  <c r="AR75" i="5"/>
  <c r="AF104" i="8"/>
  <c r="AR104" i="8" s="1"/>
  <c r="H104" i="8" s="1"/>
  <c r="AF85" i="8"/>
  <c r="AR85" i="8" s="1"/>
  <c r="H85" i="8" s="1"/>
  <c r="AR56" i="5"/>
  <c r="AG13" i="2"/>
  <c r="AF13" i="2"/>
  <c r="AI13" i="2"/>
  <c r="H168" i="4"/>
  <c r="K248" i="5" s="1"/>
  <c r="H58" i="4"/>
  <c r="K41" i="5" s="1"/>
  <c r="H36" i="4"/>
  <c r="K42" i="5" s="1"/>
  <c r="H50" i="4"/>
  <c r="K38" i="5" s="1"/>
  <c r="H52" i="4"/>
  <c r="K40" i="5" s="1"/>
  <c r="H26" i="4"/>
  <c r="K49" i="5" s="1"/>
  <c r="H54" i="4"/>
  <c r="K47" i="5" s="1"/>
  <c r="H78" i="4"/>
  <c r="K121" i="5" s="1"/>
  <c r="H166" i="4"/>
  <c r="K246" i="5" s="1"/>
  <c r="H124" i="4"/>
  <c r="K276" i="5" s="1"/>
  <c r="S266" i="4"/>
  <c r="AA7" i="5" s="1"/>
  <c r="S64" i="4"/>
  <c r="AA3" i="5" s="1"/>
  <c r="S196" i="4"/>
  <c r="AA8" i="5" s="1"/>
  <c r="S202" i="4"/>
  <c r="AA36" i="5" s="1"/>
  <c r="S121" i="4"/>
  <c r="AA113" i="5" s="1"/>
  <c r="S238" i="4"/>
  <c r="AA105" i="5" s="1"/>
  <c r="S247" i="4"/>
  <c r="AA231" i="5" s="1"/>
  <c r="S251" i="4"/>
  <c r="AA280" i="5" s="1"/>
  <c r="Z221" i="8"/>
  <c r="AW206" i="5"/>
  <c r="Z193" i="8"/>
  <c r="AW170" i="5"/>
  <c r="AW90" i="5"/>
  <c r="Z119" i="8"/>
  <c r="S289" i="4"/>
  <c r="AA52" i="5" s="1"/>
  <c r="S273" i="4"/>
  <c r="AA51" i="5" s="1"/>
  <c r="S62" i="4"/>
  <c r="AA109" i="5" s="1"/>
  <c r="S130" i="4"/>
  <c r="AA5" i="5" s="1"/>
  <c r="S22" i="4"/>
  <c r="AA12" i="5" s="1"/>
  <c r="S169" i="4"/>
  <c r="AA54" i="5" s="1"/>
  <c r="S90" i="4"/>
  <c r="AA82" i="5" s="1"/>
  <c r="N275" i="4"/>
  <c r="T300" i="5" s="1"/>
  <c r="N273" i="4"/>
  <c r="T51" i="5" s="1"/>
  <c r="AI80" i="8" s="1"/>
  <c r="O265" i="4"/>
  <c r="U6" i="5" s="1"/>
  <c r="O221" i="4"/>
  <c r="U80" i="5" s="1"/>
  <c r="O296" i="4"/>
  <c r="U156" i="5" s="1"/>
  <c r="O263" i="4"/>
  <c r="U289" i="5" s="1"/>
  <c r="O287" i="4"/>
  <c r="U287" i="5" s="1"/>
  <c r="O11" i="4"/>
  <c r="U255" i="5" s="1"/>
  <c r="O112" i="4"/>
  <c r="U274" i="5" s="1"/>
  <c r="O279" i="4"/>
  <c r="U286" i="5" s="1"/>
  <c r="AI55" i="2"/>
  <c r="AG55" i="2"/>
  <c r="AR20" i="5"/>
  <c r="AO238" i="8"/>
  <c r="BA225" i="5"/>
  <c r="I23" i="4"/>
  <c r="L13" i="5" s="1"/>
  <c r="I53" i="4"/>
  <c r="I298" i="4"/>
  <c r="L241" i="4"/>
  <c r="Q128" i="5" s="1"/>
  <c r="AH153" i="8" s="1"/>
  <c r="AT153" i="8" s="1"/>
  <c r="J153" i="8" s="1"/>
  <c r="L284" i="4"/>
  <c r="Q106" i="5" s="1"/>
  <c r="AH135" i="8" s="1"/>
  <c r="AT135" i="8" s="1"/>
  <c r="J135" i="8" s="1"/>
  <c r="L293" i="4"/>
  <c r="Q89" i="5" s="1"/>
  <c r="AH118" i="8" s="1"/>
  <c r="AT118" i="8" s="1"/>
  <c r="J118" i="8" s="1"/>
  <c r="L77" i="4"/>
  <c r="Q119" i="5" s="1"/>
  <c r="AH147" i="8" s="1"/>
  <c r="AT147" i="8" s="1"/>
  <c r="J147" i="8" s="1"/>
  <c r="L286" i="4"/>
  <c r="Q108" i="5" s="1"/>
  <c r="AH137" i="8" s="1"/>
  <c r="AT137" i="8" s="1"/>
  <c r="J137" i="8" s="1"/>
  <c r="L13" i="4"/>
  <c r="Q142" i="5" s="1"/>
  <c r="AH167" i="8" s="1"/>
  <c r="AT167" i="8" s="1"/>
  <c r="J167" i="8" s="1"/>
  <c r="L290" i="4"/>
  <c r="Q140" i="5" s="1"/>
  <c r="AH165" i="8" s="1"/>
  <c r="AT165" i="8" s="1"/>
  <c r="J165" i="8" s="1"/>
  <c r="L63" i="4"/>
  <c r="Q270" i="5" s="1"/>
  <c r="AH278" i="8" s="1"/>
  <c r="AT278" i="8" s="1"/>
  <c r="J278" i="8" s="1"/>
  <c r="L27" i="4"/>
  <c r="Q264" i="5" s="1"/>
  <c r="AH273" i="8" s="1"/>
  <c r="AT273" i="8" s="1"/>
  <c r="J273" i="8" s="1"/>
  <c r="D317" i="4"/>
  <c r="E305" i="5" s="1"/>
  <c r="D319" i="4"/>
  <c r="E329" i="5" s="1"/>
  <c r="D320" i="4"/>
  <c r="E320" i="5" s="1"/>
  <c r="D329" i="4"/>
  <c r="E345" i="5" s="1"/>
  <c r="D336" i="4"/>
  <c r="E346" i="5" s="1"/>
  <c r="D321" i="4"/>
  <c r="E324" i="5" s="1"/>
  <c r="D341" i="4"/>
  <c r="E333" i="5" s="1"/>
  <c r="D348" i="4"/>
  <c r="E351" i="5" s="1"/>
  <c r="D325" i="4"/>
  <c r="E328" i="5" s="1"/>
  <c r="D335" i="4"/>
  <c r="E323" i="5" s="1"/>
  <c r="D322" i="4"/>
  <c r="E325" i="5" s="1"/>
  <c r="R280" i="4"/>
  <c r="R270" i="4"/>
  <c r="R257" i="4"/>
  <c r="R274" i="4"/>
  <c r="R258" i="4"/>
  <c r="R96" i="4"/>
  <c r="C19" i="4"/>
  <c r="C186" i="5" s="1"/>
  <c r="R206" i="8" s="1"/>
  <c r="C282" i="4"/>
  <c r="C222" i="5" s="1"/>
  <c r="C74" i="4"/>
  <c r="C208" i="5" s="1"/>
  <c r="AZ385" i="5"/>
  <c r="S354" i="4"/>
  <c r="AA370" i="5" s="1"/>
  <c r="S361" i="4"/>
  <c r="AA371" i="5" s="1"/>
  <c r="S359" i="4"/>
  <c r="AA363" i="5" s="1"/>
  <c r="S353" i="4"/>
  <c r="S352" i="4"/>
  <c r="AA358" i="5" s="1"/>
  <c r="S364" i="4"/>
  <c r="AA359" i="5" s="1"/>
  <c r="S362" i="4"/>
  <c r="AA373" i="5" s="1"/>
  <c r="S363" i="4"/>
  <c r="AA372" i="5" s="1"/>
  <c r="BE94" i="2"/>
  <c r="BE93" i="2"/>
  <c r="S371" i="4"/>
  <c r="AA355" i="5" s="1"/>
  <c r="S373" i="4"/>
  <c r="S355" i="4"/>
  <c r="AA362" i="5" s="1"/>
  <c r="D282" i="4"/>
  <c r="E222" i="5" s="1"/>
  <c r="AD235" i="8" s="1"/>
  <c r="D74" i="4"/>
  <c r="E208" i="5" s="1"/>
  <c r="D19" i="4"/>
  <c r="E186" i="5" s="1"/>
  <c r="AD206" i="8" s="1"/>
  <c r="BA206" i="5"/>
  <c r="AO221" i="8"/>
  <c r="O305" i="4"/>
  <c r="U314" i="5" s="1"/>
  <c r="O306" i="4"/>
  <c r="U315" i="5" s="1"/>
  <c r="O343" i="4"/>
  <c r="U330" i="5" s="1"/>
  <c r="O350" i="4"/>
  <c r="U339" i="5" s="1"/>
  <c r="O345" i="4"/>
  <c r="U337" i="5" s="1"/>
  <c r="O351" i="4"/>
  <c r="U341" i="5" s="1"/>
  <c r="O323" i="4"/>
  <c r="U326" i="5" s="1"/>
  <c r="AC116" i="8"/>
  <c r="L223" i="4"/>
  <c r="Q15" i="5" s="1"/>
  <c r="AH50" i="8" s="1"/>
  <c r="AT50" i="8" s="1"/>
  <c r="J50" i="8" s="1"/>
  <c r="L82" i="4"/>
  <c r="Q158" i="5" s="1"/>
  <c r="AH182" i="8" s="1"/>
  <c r="AT182" i="8" s="1"/>
  <c r="J182" i="8" s="1"/>
  <c r="L84" i="4"/>
  <c r="Q160" i="5" s="1"/>
  <c r="AH183" i="8" s="1"/>
  <c r="AT183" i="8" s="1"/>
  <c r="J183" i="8" s="1"/>
  <c r="L193" i="4"/>
  <c r="Q210" i="5" s="1"/>
  <c r="AH225" i="8" s="1"/>
  <c r="AT225" i="8" s="1"/>
  <c r="J225" i="8" s="1"/>
  <c r="L155" i="4"/>
  <c r="Q209" i="5" s="1"/>
  <c r="AH224" i="8" s="1"/>
  <c r="AT224" i="8" s="1"/>
  <c r="J224" i="8" s="1"/>
  <c r="L156" i="4"/>
  <c r="Q211" i="5" s="1"/>
  <c r="AH226" i="8" s="1"/>
  <c r="AT226" i="8" s="1"/>
  <c r="J226" i="8" s="1"/>
  <c r="L157" i="4"/>
  <c r="Q212" i="5" s="1"/>
  <c r="AH227" i="8" s="1"/>
  <c r="AT227" i="8" s="1"/>
  <c r="J227" i="8" s="1"/>
  <c r="AU20" i="5"/>
  <c r="Y191" i="4"/>
  <c r="AJ282" i="5" s="1"/>
  <c r="Y190" i="4"/>
  <c r="AJ281" i="5" s="1"/>
  <c r="Y129" i="4"/>
  <c r="AJ283" i="5" s="1"/>
  <c r="Y99" i="4"/>
  <c r="AJ166" i="5" s="1"/>
  <c r="Y71" i="4"/>
  <c r="AJ190" i="5" s="1"/>
  <c r="Y73" i="4"/>
  <c r="AJ192" i="5" s="1"/>
  <c r="Y222" i="4"/>
  <c r="AJ269" i="5" s="1"/>
  <c r="BA306" i="5"/>
  <c r="AO308" i="8"/>
  <c r="P266" i="4"/>
  <c r="W7" i="5" s="1"/>
  <c r="AJ43" i="8" s="1"/>
  <c r="P64" i="4"/>
  <c r="W3" i="5" s="1"/>
  <c r="AJ40" i="8" s="1"/>
  <c r="AV40" i="8" s="1"/>
  <c r="P196" i="4"/>
  <c r="W8" i="5" s="1"/>
  <c r="AJ44" i="8" s="1"/>
  <c r="P202" i="4"/>
  <c r="W36" i="5" s="1"/>
  <c r="AJ67" i="8" s="1"/>
  <c r="P238" i="4"/>
  <c r="W105" i="5" s="1"/>
  <c r="AJ134" i="8" s="1"/>
  <c r="P121" i="4"/>
  <c r="W113" i="5" s="1"/>
  <c r="AJ8" i="8" s="1"/>
  <c r="AY386" i="5"/>
  <c r="AN386" i="5"/>
  <c r="Z190" i="4"/>
  <c r="AL281" i="5" s="1"/>
  <c r="Z129" i="4"/>
  <c r="AL283" i="5" s="1"/>
  <c r="Z191" i="4"/>
  <c r="AL282" i="5" s="1"/>
  <c r="Z71" i="4"/>
  <c r="AL190" i="5" s="1"/>
  <c r="Z73" i="4"/>
  <c r="AL192" i="5" s="1"/>
  <c r="Z222" i="4"/>
  <c r="AL269" i="5" s="1"/>
  <c r="O180" i="4"/>
  <c r="U87" i="5" s="1"/>
  <c r="O224" i="4"/>
  <c r="U169" i="5" s="1"/>
  <c r="AG78" i="2"/>
  <c r="AI78" i="2"/>
  <c r="AR60" i="5"/>
  <c r="AF89" i="8"/>
  <c r="AR89" i="8" s="1"/>
  <c r="H89" i="8" s="1"/>
  <c r="U58" i="4" a="1"/>
  <c r="U58" i="4" s="1"/>
  <c r="AD41" i="5" s="1"/>
  <c r="U88" i="4" a="1"/>
  <c r="U88" i="4" s="1"/>
  <c r="AD44" i="5" s="1"/>
  <c r="AN44" i="5" s="1"/>
  <c r="O31" i="4"/>
  <c r="U127" i="5" s="1"/>
  <c r="O110" i="4"/>
  <c r="U88" i="5" s="1"/>
  <c r="P110" i="4"/>
  <c r="W88" i="5" s="1"/>
  <c r="AJ117" i="8" s="1"/>
  <c r="P31" i="4"/>
  <c r="W127" i="5" s="1"/>
  <c r="AJ152" i="8" s="1"/>
  <c r="P253" i="4"/>
  <c r="W168" i="5" s="1"/>
  <c r="AJ191" i="8" s="1"/>
  <c r="AV191" i="8" s="1"/>
  <c r="L191" i="8" s="1"/>
  <c r="Y309" i="4"/>
  <c r="AJ308" i="5" s="1"/>
  <c r="Y314" i="4"/>
  <c r="AJ313" i="5" s="1"/>
  <c r="Y307" i="4"/>
  <c r="AJ317" i="5" s="1"/>
  <c r="Y316" i="4"/>
  <c r="AJ318" i="5" s="1"/>
  <c r="Y315" i="4"/>
  <c r="AJ316" i="5" s="1"/>
  <c r="Y339" i="4"/>
  <c r="AJ319" i="5" s="1"/>
  <c r="Y347" i="4"/>
  <c r="AJ336" i="5" s="1"/>
  <c r="D133" i="4"/>
  <c r="E226" i="5" s="1"/>
  <c r="AD239" i="8" s="1"/>
  <c r="D164" i="4"/>
  <c r="E240" i="5" s="1"/>
  <c r="U196" i="4" a="1"/>
  <c r="U196" i="4" s="1"/>
  <c r="AD8" i="5" s="1"/>
  <c r="U42" i="4" a="1"/>
  <c r="U42" i="4" s="1"/>
  <c r="AD16" i="5" s="1"/>
  <c r="U43" i="4" a="1"/>
  <c r="U43" i="4" s="1"/>
  <c r="AD17" i="5" s="1"/>
  <c r="U210" i="4" a="1"/>
  <c r="U210" i="4" s="1"/>
  <c r="AD21" i="5" s="1"/>
  <c r="U272" i="4" a="1"/>
  <c r="U272" i="4" s="1"/>
  <c r="AD50" i="5" s="1"/>
  <c r="U248" i="4" a="1"/>
  <c r="U248" i="4" s="1"/>
  <c r="AD76" i="5" s="1"/>
  <c r="U32" i="4" a="1"/>
  <c r="U32" i="4" s="1"/>
  <c r="AD129" i="5" s="1"/>
  <c r="U33" i="4" a="1"/>
  <c r="U33" i="4" s="1"/>
  <c r="AD137" i="5" s="1"/>
  <c r="U252" i="4" a="1"/>
  <c r="U252" i="4" s="1"/>
  <c r="AD157" i="5" s="1"/>
  <c r="U243" i="4" a="1"/>
  <c r="U243" i="4" s="1"/>
  <c r="AD193" i="5" s="1"/>
  <c r="U255" i="4" a="1"/>
  <c r="U255" i="4" s="1"/>
  <c r="AD195" i="5" s="1"/>
  <c r="U271" i="4" a="1"/>
  <c r="U271" i="4" s="1"/>
  <c r="AD225" i="5" s="1"/>
  <c r="U199" i="4" a="1"/>
  <c r="U199" i="4" s="1"/>
  <c r="AD243" i="5" s="1"/>
  <c r="U281" i="4" a="1"/>
  <c r="U281" i="4" s="1"/>
  <c r="AD292" i="5" s="1"/>
  <c r="U251" i="4" a="1"/>
  <c r="U251" i="4" s="1"/>
  <c r="AD280" i="5" s="1"/>
  <c r="U191" i="4" a="1"/>
  <c r="U191" i="4" s="1"/>
  <c r="AD282" i="5" s="1"/>
  <c r="U258" i="4" a="1"/>
  <c r="U258" i="4" s="1"/>
  <c r="AD296" i="5" s="1"/>
  <c r="M71" i="4"/>
  <c r="R190" i="5" s="1"/>
  <c r="W202" i="4"/>
  <c r="AG36" i="5" s="1"/>
  <c r="AF78" i="2"/>
  <c r="T140" i="4" a="1"/>
  <c r="T140" i="4" s="1"/>
  <c r="AC14" i="5" s="1"/>
  <c r="AL49" i="8" s="1"/>
  <c r="T64" i="4" a="1"/>
  <c r="T64" i="4" s="1"/>
  <c r="AC3" i="5" s="1"/>
  <c r="AL40" i="8" s="1"/>
  <c r="U22" i="4" a="1"/>
  <c r="U22" i="4" s="1"/>
  <c r="AD12" i="5" s="1"/>
  <c r="S260" i="4"/>
  <c r="AA46" i="5" s="1"/>
  <c r="R49" i="4"/>
  <c r="Z34" i="5" s="1"/>
  <c r="AK65" i="8" s="1"/>
  <c r="X181" i="4"/>
  <c r="AI10" i="5" s="1"/>
  <c r="AN46" i="8" s="1"/>
  <c r="AZ46" i="8" s="1"/>
  <c r="P46" i="8" s="1"/>
  <c r="T28" i="4" a="1"/>
  <c r="T28" i="4" s="1"/>
  <c r="AC97" i="5" s="1"/>
  <c r="AL126" i="8" s="1"/>
  <c r="AX126" i="8" s="1"/>
  <c r="N126" i="8" s="1"/>
  <c r="O233" i="4"/>
  <c r="U29" i="5" s="1"/>
  <c r="D51" i="4"/>
  <c r="E39" i="5" s="1"/>
  <c r="U52" i="4" a="1"/>
  <c r="U52" i="4" s="1"/>
  <c r="AD40" i="5" s="1"/>
  <c r="Z206" i="4"/>
  <c r="AL71" i="5" s="1"/>
  <c r="U103" i="4" a="1"/>
  <c r="U103" i="4" s="1"/>
  <c r="AD55" i="5" s="1"/>
  <c r="U208" i="4" a="1"/>
  <c r="U208" i="4" s="1"/>
  <c r="AD75" i="5" s="1"/>
  <c r="T89" i="4" a="1"/>
  <c r="T89" i="4" s="1"/>
  <c r="AC48" i="5" s="1"/>
  <c r="AL6" i="8" s="1"/>
  <c r="AX6" i="8" s="1"/>
  <c r="N6" i="8" s="1"/>
  <c r="L236" i="4"/>
  <c r="Q95" i="5" s="1"/>
  <c r="AH124" i="8" s="1"/>
  <c r="AT124" i="8" s="1"/>
  <c r="J124" i="8" s="1"/>
  <c r="U110" i="4" a="1"/>
  <c r="U110" i="4" s="1"/>
  <c r="AD88" i="5" s="1"/>
  <c r="Z141" i="4"/>
  <c r="AL123" i="5" s="1"/>
  <c r="Q240" i="4"/>
  <c r="X117" i="5" s="1"/>
  <c r="T248" i="4" a="1"/>
  <c r="T248" i="4" s="1"/>
  <c r="AC76" i="5" s="1"/>
  <c r="AL105" i="8" s="1"/>
  <c r="T172" i="4" a="1"/>
  <c r="T172" i="4" s="1"/>
  <c r="AC70" i="5" s="1"/>
  <c r="AL99" i="8" s="1"/>
  <c r="M79" i="4"/>
  <c r="R131" i="5" s="1"/>
  <c r="X249" i="4"/>
  <c r="AI99" i="5" s="1"/>
  <c r="AN128" i="8" s="1"/>
  <c r="AZ128" i="8" s="1"/>
  <c r="P128" i="8" s="1"/>
  <c r="U239" i="4" a="1"/>
  <c r="U239" i="4" s="1"/>
  <c r="AD114" i="5" s="1"/>
  <c r="U139" i="4" a="1"/>
  <c r="U139" i="4" s="1"/>
  <c r="AD110" i="5" s="1"/>
  <c r="T96" i="4" a="1"/>
  <c r="T96" i="4" s="1"/>
  <c r="AC122" i="5" s="1"/>
  <c r="AL150" i="8" s="1"/>
  <c r="AX150" i="8" s="1"/>
  <c r="N150" i="8" s="1"/>
  <c r="Z188" i="4"/>
  <c r="AL152" i="5" s="1"/>
  <c r="P186" i="4"/>
  <c r="W150" i="5" s="1"/>
  <c r="AJ174" i="8" s="1"/>
  <c r="D114" i="4"/>
  <c r="E138" i="5" s="1"/>
  <c r="D96" i="4"/>
  <c r="E122" i="5" s="1"/>
  <c r="C240" i="4"/>
  <c r="C117" i="5" s="1"/>
  <c r="O68" i="4"/>
  <c r="U165" i="5" s="1"/>
  <c r="T290" i="4" a="1"/>
  <c r="T290" i="4" s="1"/>
  <c r="AC140" i="5" s="1"/>
  <c r="AL165" i="8" s="1"/>
  <c r="P16" i="4"/>
  <c r="W183" i="5" s="1"/>
  <c r="AJ16" i="8" s="1"/>
  <c r="AV16" i="8" s="1"/>
  <c r="L16" i="8" s="1"/>
  <c r="AP189" i="8"/>
  <c r="S15" i="4"/>
  <c r="AA181" i="5" s="1"/>
  <c r="T186" i="4" a="1"/>
  <c r="T186" i="4" s="1"/>
  <c r="AC150" i="5" s="1"/>
  <c r="AL174" i="8" s="1"/>
  <c r="AX174" i="8" s="1"/>
  <c r="N174" i="8" s="1"/>
  <c r="S67" i="4"/>
  <c r="AA164" i="5" s="1"/>
  <c r="P189" i="4"/>
  <c r="W167" i="5" s="1"/>
  <c r="AJ190" i="8" s="1"/>
  <c r="AV190" i="8" s="1"/>
  <c r="L190" i="8" s="1"/>
  <c r="X243" i="4"/>
  <c r="AI193" i="5" s="1"/>
  <c r="AN212" i="8" s="1"/>
  <c r="AZ212" i="8" s="1"/>
  <c r="P212" i="8" s="1"/>
  <c r="U83" i="4" a="1"/>
  <c r="U83" i="4" s="1"/>
  <c r="AD159" i="5" s="1"/>
  <c r="O159" i="4"/>
  <c r="U215" i="5" s="1"/>
  <c r="O85" i="4"/>
  <c r="U224" i="5" s="1"/>
  <c r="C115" i="4"/>
  <c r="C161" i="5" s="1"/>
  <c r="T8" i="4" a="1"/>
  <c r="T8" i="4" s="1"/>
  <c r="AC177" i="5" s="1"/>
  <c r="U264" i="4" a="1"/>
  <c r="U264" i="4" s="1"/>
  <c r="AD198" i="5" s="1"/>
  <c r="T157" i="4" a="1"/>
  <c r="T157" i="4" s="1"/>
  <c r="AC212" i="5" s="1"/>
  <c r="AL227" i="8" s="1"/>
  <c r="U69" i="4" a="1"/>
  <c r="U69" i="4" s="1"/>
  <c r="AD170" i="5" s="1"/>
  <c r="Z167" i="4"/>
  <c r="AL247" i="5" s="1"/>
  <c r="M201" i="4"/>
  <c r="R249" i="5" s="1"/>
  <c r="Z204" i="4"/>
  <c r="AL251" i="5" s="1"/>
  <c r="U270" i="4" a="1"/>
  <c r="U270" i="4" s="1"/>
  <c r="AD291" i="5" s="1"/>
  <c r="H258" i="4"/>
  <c r="K296" i="5" s="1"/>
  <c r="Q132" i="4"/>
  <c r="X294" i="5" s="1"/>
  <c r="T219" i="4" a="1"/>
  <c r="T219" i="4" s="1"/>
  <c r="AC265" i="5" s="1"/>
  <c r="AL27" i="8" s="1"/>
  <c r="L235" i="4"/>
  <c r="Q253" i="5" s="1"/>
  <c r="AH263" i="8" s="1"/>
  <c r="AT263" i="8" s="1"/>
  <c r="J263" i="8" s="1"/>
  <c r="U147" i="4" a="1"/>
  <c r="U147" i="4" s="1"/>
  <c r="AD293" i="5" s="1"/>
  <c r="C112" i="4"/>
  <c r="C274" i="5" s="1"/>
  <c r="T48" i="4" a="1"/>
  <c r="T48" i="4" s="1"/>
  <c r="AC233" i="5" s="1"/>
  <c r="AL245" i="8" s="1"/>
  <c r="I66" i="4"/>
  <c r="L277" i="5" s="1"/>
  <c r="T297" i="4" a="1"/>
  <c r="T297" i="4" s="1"/>
  <c r="AC272" i="5" s="1"/>
  <c r="AL280" i="8" s="1"/>
  <c r="T263" i="4" a="1"/>
  <c r="T263" i="4" s="1"/>
  <c r="AC289" i="5" s="1"/>
  <c r="AL296" i="8" s="1"/>
  <c r="X346" i="4"/>
  <c r="AI340" i="5" s="1"/>
  <c r="AN340" i="8" s="1"/>
  <c r="AZ340" i="8" s="1"/>
  <c r="P340" i="8" s="1"/>
  <c r="M330" i="4"/>
  <c r="R347" i="5" s="1"/>
  <c r="S357" i="4"/>
  <c r="AA361" i="5" s="1"/>
  <c r="Z373" i="4"/>
  <c r="AL357" i="5" s="1"/>
  <c r="Q371" i="4"/>
  <c r="X355" i="5" s="1"/>
  <c r="P368" i="4"/>
  <c r="W369" i="5" s="1"/>
  <c r="AJ367" i="8" s="1"/>
  <c r="V356" i="4"/>
  <c r="AF366" i="5" s="1"/>
  <c r="AM364" i="8" s="1"/>
  <c r="AY364" i="8" s="1"/>
  <c r="P359" i="4"/>
  <c r="W363" i="5" s="1"/>
  <c r="AJ361" i="8" s="1"/>
  <c r="T382" i="4"/>
  <c r="AC382" i="5" s="1"/>
  <c r="AL378" i="8" s="1"/>
  <c r="AK82" i="2"/>
  <c r="AS147" i="5"/>
  <c r="AG172" i="8"/>
  <c r="X222" i="8"/>
  <c r="AU207" i="5"/>
  <c r="Q84" i="4"/>
  <c r="X160" i="5" s="1"/>
  <c r="Q155" i="4"/>
  <c r="X209" i="5" s="1"/>
  <c r="Q156" i="4"/>
  <c r="X211" i="5" s="1"/>
  <c r="Q82" i="4"/>
  <c r="X158" i="5" s="1"/>
  <c r="Q193" i="4"/>
  <c r="X210" i="5" s="1"/>
  <c r="Q157" i="4"/>
  <c r="X212" i="5" s="1"/>
  <c r="Q158" i="4"/>
  <c r="X258" i="5" s="1"/>
  <c r="Q288" i="4"/>
  <c r="X214" i="5" s="1"/>
  <c r="O381" i="4"/>
  <c r="U381" i="5" s="1"/>
  <c r="O380" i="4"/>
  <c r="U380" i="5" s="1"/>
  <c r="O378" i="4"/>
  <c r="U378" i="5" s="1"/>
  <c r="O377" i="4"/>
  <c r="U377" i="5" s="1"/>
  <c r="O375" i="4"/>
  <c r="U375" i="5" s="1"/>
  <c r="O374" i="4"/>
  <c r="U374" i="5" s="1"/>
  <c r="O379" i="4"/>
  <c r="U379" i="5" s="1"/>
  <c r="O376" i="4"/>
  <c r="U376" i="5" s="1"/>
  <c r="O382" i="4"/>
  <c r="U382" i="5" s="1"/>
  <c r="AS299" i="5"/>
  <c r="AK59" i="2"/>
  <c r="AX305" i="5"/>
  <c r="AA307" i="8"/>
  <c r="AD81" i="2"/>
  <c r="AQ107" i="5"/>
  <c r="AE136" i="8"/>
  <c r="R303" i="4"/>
  <c r="R331" i="4"/>
  <c r="O274" i="4"/>
  <c r="U288" i="5" s="1"/>
  <c r="O270" i="4"/>
  <c r="U291" i="5" s="1"/>
  <c r="O281" i="4"/>
  <c r="U292" i="5" s="1"/>
  <c r="O257" i="4"/>
  <c r="U295" i="5" s="1"/>
  <c r="O280" i="4"/>
  <c r="U290" i="5" s="1"/>
  <c r="O258" i="4"/>
  <c r="U296" i="5" s="1"/>
  <c r="N228" i="4"/>
  <c r="T218" i="5" s="1"/>
  <c r="AI231" i="8" s="1"/>
  <c r="AZ88" i="2"/>
  <c r="AZ87" i="2"/>
  <c r="F257" i="4"/>
  <c r="F270" i="4"/>
  <c r="F274" i="4"/>
  <c r="F281" i="4"/>
  <c r="F258" i="4"/>
  <c r="F280" i="4"/>
  <c r="F96" i="4"/>
  <c r="J19" i="4"/>
  <c r="N186" i="5" s="1"/>
  <c r="J70" i="4"/>
  <c r="J74" i="4"/>
  <c r="J282" i="4"/>
  <c r="C380" i="4"/>
  <c r="C380" i="5" s="1"/>
  <c r="R376" i="8" s="1"/>
  <c r="C378" i="4"/>
  <c r="C378" i="5" s="1"/>
  <c r="R374" i="8" s="1"/>
  <c r="C376" i="4"/>
  <c r="C376" i="5" s="1"/>
  <c r="R372" i="8" s="1"/>
  <c r="C377" i="4"/>
  <c r="C377" i="5" s="1"/>
  <c r="R373" i="8" s="1"/>
  <c r="C382" i="4"/>
  <c r="C382" i="5" s="1"/>
  <c r="R378" i="8" s="1"/>
  <c r="C383" i="4"/>
  <c r="C383" i="5" s="1"/>
  <c r="R379" i="8" s="1"/>
  <c r="D127" i="4"/>
  <c r="E171" i="5" s="1"/>
  <c r="D137" i="4"/>
  <c r="E260" i="5" s="1"/>
  <c r="D240" i="4"/>
  <c r="E117" i="5" s="1"/>
  <c r="D184" i="4"/>
  <c r="E132" i="5" s="1"/>
  <c r="AD157" i="8" s="1"/>
  <c r="D209" i="4"/>
  <c r="E259" i="5" s="1"/>
  <c r="D219" i="4"/>
  <c r="E265" i="5" s="1"/>
  <c r="E275" i="4"/>
  <c r="E289" i="4"/>
  <c r="E62" i="4"/>
  <c r="E75" i="4"/>
  <c r="E273" i="4"/>
  <c r="S383" i="4"/>
  <c r="AA383" i="5" s="1"/>
  <c r="S378" i="4"/>
  <c r="AA378" i="5" s="1"/>
  <c r="S380" i="4"/>
  <c r="AA380" i="5" s="1"/>
  <c r="S375" i="4"/>
  <c r="AA375" i="5" s="1"/>
  <c r="S382" i="4"/>
  <c r="AA382" i="5" s="1"/>
  <c r="S381" i="4"/>
  <c r="AA381" i="5" s="1"/>
  <c r="S376" i="4"/>
  <c r="AA376" i="5" s="1"/>
  <c r="S379" i="4"/>
  <c r="AA379" i="5" s="1"/>
  <c r="S374" i="4"/>
  <c r="AA374" i="5" s="1"/>
  <c r="S377" i="4"/>
  <c r="AA377" i="5" s="1"/>
  <c r="R137" i="4"/>
  <c r="R182" i="4"/>
  <c r="R209" i="4"/>
  <c r="R184" i="4"/>
  <c r="R236" i="4"/>
  <c r="R181" i="4"/>
  <c r="R219" i="4"/>
  <c r="R120" i="4"/>
  <c r="R127" i="4"/>
  <c r="R176" i="4"/>
  <c r="R240" i="4"/>
  <c r="C36" i="4"/>
  <c r="C42" i="5" s="1"/>
  <c r="C50" i="4"/>
  <c r="C38" i="5" s="1"/>
  <c r="C52" i="4"/>
  <c r="C40" i="5" s="1"/>
  <c r="C54" i="4"/>
  <c r="C47" i="5" s="1"/>
  <c r="C58" i="4"/>
  <c r="C41" i="5" s="1"/>
  <c r="C26" i="4"/>
  <c r="C49" i="5" s="1"/>
  <c r="C3" i="4"/>
  <c r="C118" i="5" s="1"/>
  <c r="C165" i="4"/>
  <c r="C245" i="5" s="1"/>
  <c r="C168" i="4"/>
  <c r="C248" i="5" s="1"/>
  <c r="C124" i="4"/>
  <c r="C276" i="5" s="1"/>
  <c r="R284" i="8" s="1"/>
  <c r="C166" i="4"/>
  <c r="C246" i="5" s="1"/>
  <c r="N311" i="4"/>
  <c r="T310" i="5" s="1"/>
  <c r="AI312" i="8" s="1"/>
  <c r="N324" i="4"/>
  <c r="T327" i="5" s="1"/>
  <c r="AI328" i="8" s="1"/>
  <c r="N330" i="4"/>
  <c r="T347" i="5" s="1"/>
  <c r="AI347" i="8" s="1"/>
  <c r="Q311" i="4"/>
  <c r="X310" i="5" s="1"/>
  <c r="Q324" i="4"/>
  <c r="X327" i="5" s="1"/>
  <c r="Q330" i="4"/>
  <c r="X347" i="5" s="1"/>
  <c r="AZ20" i="5"/>
  <c r="V304" i="4"/>
  <c r="AF304" i="5" s="1"/>
  <c r="V332" i="4"/>
  <c r="AF349" i="5" s="1"/>
  <c r="V338" i="4"/>
  <c r="AF332" i="5" s="1"/>
  <c r="I372" i="4"/>
  <c r="L356" i="5" s="1"/>
  <c r="I364" i="4"/>
  <c r="L359" i="5" s="1"/>
  <c r="I352" i="4"/>
  <c r="L358" i="5" s="1"/>
  <c r="I353" i="4"/>
  <c r="L360" i="5" s="1"/>
  <c r="I357" i="4"/>
  <c r="L361" i="5" s="1"/>
  <c r="I361" i="4"/>
  <c r="L371" i="5" s="1"/>
  <c r="I362" i="4"/>
  <c r="L373" i="5" s="1"/>
  <c r="I363" i="4"/>
  <c r="L372" i="5" s="1"/>
  <c r="AU94" i="2"/>
  <c r="AU93" i="2"/>
  <c r="I355" i="4"/>
  <c r="L362" i="5" s="1"/>
  <c r="I354" i="4"/>
  <c r="L370" i="5" s="1"/>
  <c r="I359" i="4"/>
  <c r="L363" i="5" s="1"/>
  <c r="I371" i="4"/>
  <c r="L355" i="5" s="1"/>
  <c r="AG74" i="2"/>
  <c r="AI74" i="2"/>
  <c r="E130" i="4"/>
  <c r="F5" i="5" s="1"/>
  <c r="E22" i="4"/>
  <c r="F12" i="5" s="1"/>
  <c r="E59" i="4"/>
  <c r="E404" i="4"/>
  <c r="E399" i="4"/>
  <c r="E299" i="4"/>
  <c r="E400" i="4"/>
  <c r="E89" i="4"/>
  <c r="E394" i="4"/>
  <c r="E395" i="4"/>
  <c r="E396" i="4"/>
  <c r="E262" i="4"/>
  <c r="F324" i="4"/>
  <c r="F311" i="4"/>
  <c r="F330" i="4"/>
  <c r="Z252" i="8"/>
  <c r="AW241" i="5"/>
  <c r="E313" i="4"/>
  <c r="E310" i="4"/>
  <c r="E312" i="4"/>
  <c r="E349" i="4"/>
  <c r="AQ90" i="2"/>
  <c r="AQ91" i="2"/>
  <c r="Z173" i="4"/>
  <c r="AL78" i="5" s="1"/>
  <c r="Z302" i="4"/>
  <c r="AL77" i="5" s="1"/>
  <c r="Z18" i="4"/>
  <c r="AL185" i="5" s="1"/>
  <c r="Z24" i="4"/>
  <c r="AL182" i="5" s="1"/>
  <c r="Z14" i="4"/>
  <c r="AL180" i="5" s="1"/>
  <c r="BA304" i="5"/>
  <c r="AO306" i="8"/>
  <c r="X24" i="8"/>
  <c r="AU228" i="5"/>
  <c r="I225" i="4"/>
  <c r="I203" i="4"/>
  <c r="I239" i="4"/>
  <c r="X147" i="8"/>
  <c r="AU119" i="5"/>
  <c r="I212" i="4"/>
  <c r="L23" i="5" s="1"/>
  <c r="I210" i="4"/>
  <c r="I148" i="4"/>
  <c r="I147" i="4"/>
  <c r="I312" i="4"/>
  <c r="L311" i="5" s="1"/>
  <c r="I313" i="4"/>
  <c r="L312" i="5" s="1"/>
  <c r="I310" i="4"/>
  <c r="L309" i="5" s="1"/>
  <c r="AU91" i="2"/>
  <c r="AU90" i="2"/>
  <c r="I349" i="4"/>
  <c r="L335" i="5" s="1"/>
  <c r="L211" i="4"/>
  <c r="Q22" i="5" s="1"/>
  <c r="AH55" i="8" s="1"/>
  <c r="AT55" i="8" s="1"/>
  <c r="J55" i="8" s="1"/>
  <c r="L213" i="4"/>
  <c r="Q24" i="5" s="1"/>
  <c r="AH57" i="8" s="1"/>
  <c r="AT57" i="8" s="1"/>
  <c r="J57" i="8" s="1"/>
  <c r="L215" i="4"/>
  <c r="Q26" i="5" s="1"/>
  <c r="AH59" i="8" s="1"/>
  <c r="AT59" i="8" s="1"/>
  <c r="J59" i="8" s="1"/>
  <c r="L214" i="4"/>
  <c r="Q25" i="5" s="1"/>
  <c r="AH58" i="8" s="1"/>
  <c r="AT58" i="8" s="1"/>
  <c r="J58" i="8" s="1"/>
  <c r="Q207" i="4"/>
  <c r="X72" i="5" s="1"/>
  <c r="Q135" i="4"/>
  <c r="X74" i="5" s="1"/>
  <c r="Q113" i="4"/>
  <c r="X135" i="5" s="1"/>
  <c r="Q35" i="4"/>
  <c r="X173" i="5" s="1"/>
  <c r="Q259" i="4"/>
  <c r="X297" i="5" s="1"/>
  <c r="Q416" i="4"/>
  <c r="X400" i="5" s="1"/>
  <c r="Q397" i="4"/>
  <c r="X399" i="5" s="1"/>
  <c r="Q406" i="4"/>
  <c r="X416" i="5" s="1"/>
  <c r="Q408" i="4"/>
  <c r="X401" i="5" s="1"/>
  <c r="D369" i="4"/>
  <c r="E353" i="5" s="1"/>
  <c r="D368" i="4"/>
  <c r="E369" i="5" s="1"/>
  <c r="D356" i="4"/>
  <c r="E366" i="5" s="1"/>
  <c r="D367" i="4"/>
  <c r="E368" i="5" s="1"/>
  <c r="D358" i="4"/>
  <c r="E352" i="5" s="1"/>
  <c r="D365" i="4"/>
  <c r="E365" i="5" s="1"/>
  <c r="D366" i="4"/>
  <c r="E367" i="5" s="1"/>
  <c r="J15" i="4"/>
  <c r="N181" i="5" s="1"/>
  <c r="J297" i="4"/>
  <c r="N272" i="5" s="1"/>
  <c r="J111" i="4"/>
  <c r="F267" i="4"/>
  <c r="H73" i="5" s="1"/>
  <c r="F97" i="4"/>
  <c r="H130" i="5" s="1"/>
  <c r="F142" i="4"/>
  <c r="F269" i="4"/>
  <c r="BI88" i="2"/>
  <c r="BI87" i="2"/>
  <c r="M317" i="4"/>
  <c r="R305" i="5" s="1"/>
  <c r="M319" i="4"/>
  <c r="R329" i="5" s="1"/>
  <c r="M322" i="4"/>
  <c r="R325" i="5" s="1"/>
  <c r="M325" i="4"/>
  <c r="R328" i="5" s="1"/>
  <c r="M342" i="4"/>
  <c r="R334" i="5" s="1"/>
  <c r="M335" i="4"/>
  <c r="R323" i="5" s="1"/>
  <c r="M336" i="4"/>
  <c r="R346" i="5" s="1"/>
  <c r="M348" i="4"/>
  <c r="R351" i="5" s="1"/>
  <c r="M334" i="4"/>
  <c r="R322" i="5" s="1"/>
  <c r="Z212" i="4"/>
  <c r="AL23" i="5" s="1"/>
  <c r="Z148" i="4"/>
  <c r="AL200" i="5" s="1"/>
  <c r="Z147" i="4"/>
  <c r="AL293" i="5" s="1"/>
  <c r="E172" i="4"/>
  <c r="E37" i="4"/>
  <c r="E206" i="4"/>
  <c r="E260" i="4"/>
  <c r="E261" i="4"/>
  <c r="E41" i="4"/>
  <c r="E126" i="4"/>
  <c r="E39" i="4"/>
  <c r="E170" i="4"/>
  <c r="E199" i="4"/>
  <c r="E295" i="4"/>
  <c r="O352" i="4"/>
  <c r="U358" i="5" s="1"/>
  <c r="O359" i="4"/>
  <c r="U363" i="5" s="1"/>
  <c r="O363" i="4"/>
  <c r="U372" i="5" s="1"/>
  <c r="O362" i="4"/>
  <c r="U373" i="5" s="1"/>
  <c r="O364" i="4"/>
  <c r="U359" i="5" s="1"/>
  <c r="O372" i="4"/>
  <c r="U356" i="5" s="1"/>
  <c r="O353" i="4"/>
  <c r="U360" i="5" s="1"/>
  <c r="O361" i="4"/>
  <c r="U371" i="5" s="1"/>
  <c r="BA94" i="2"/>
  <c r="BA93" i="2"/>
  <c r="O354" i="4"/>
  <c r="U370" i="5" s="1"/>
  <c r="O371" i="4"/>
  <c r="U355" i="5" s="1"/>
  <c r="O373" i="4"/>
  <c r="U357" i="5" s="1"/>
  <c r="AU225" i="8"/>
  <c r="W291" i="4"/>
  <c r="AG101" i="5" s="1"/>
  <c r="W292" i="4"/>
  <c r="AG143" i="5" s="1"/>
  <c r="Q275" i="4"/>
  <c r="X300" i="5" s="1"/>
  <c r="AV300" i="5" s="1"/>
  <c r="Q289" i="4"/>
  <c r="X52" i="5" s="1"/>
  <c r="Q273" i="4"/>
  <c r="X51" i="5" s="1"/>
  <c r="Q62" i="4"/>
  <c r="X109" i="5" s="1"/>
  <c r="K372" i="4"/>
  <c r="O356" i="5" s="1"/>
  <c r="K364" i="4"/>
  <c r="O359" i="5" s="1"/>
  <c r="K362" i="4"/>
  <c r="O373" i="5" s="1"/>
  <c r="K363" i="4"/>
  <c r="O372" i="5" s="1"/>
  <c r="K361" i="4"/>
  <c r="O371" i="5" s="1"/>
  <c r="K352" i="4"/>
  <c r="O358" i="5" s="1"/>
  <c r="K357" i="4"/>
  <c r="O361" i="5" s="1"/>
  <c r="K353" i="4"/>
  <c r="O360" i="5" s="1"/>
  <c r="AW94" i="2"/>
  <c r="AW93" i="2"/>
  <c r="K355" i="4"/>
  <c r="O362" i="5" s="1"/>
  <c r="K354" i="4"/>
  <c r="O370" i="5" s="1"/>
  <c r="K359" i="4"/>
  <c r="O363" i="5" s="1"/>
  <c r="K371" i="4"/>
  <c r="O355" i="5" s="1"/>
  <c r="K373" i="4"/>
  <c r="O357" i="5" s="1"/>
  <c r="J82" i="4"/>
  <c r="J156" i="4"/>
  <c r="J83" i="4"/>
  <c r="J84" i="4"/>
  <c r="J155" i="4"/>
  <c r="J223" i="4"/>
  <c r="J193" i="4"/>
  <c r="J288" i="4"/>
  <c r="J158" i="4"/>
  <c r="J157" i="4"/>
  <c r="I291" i="4"/>
  <c r="L101" i="5" s="1"/>
  <c r="I268" i="4"/>
  <c r="I292" i="4"/>
  <c r="I249" i="4"/>
  <c r="I248" i="4"/>
  <c r="I252" i="4"/>
  <c r="I243" i="4"/>
  <c r="M139" i="4"/>
  <c r="R110" i="5" s="1"/>
  <c r="M92" i="4"/>
  <c r="R111" i="5" s="1"/>
  <c r="M93" i="4"/>
  <c r="R112" i="5" s="1"/>
  <c r="M143" i="4"/>
  <c r="R126" i="5" s="1"/>
  <c r="M98" i="4"/>
  <c r="R163" i="5" s="1"/>
  <c r="M227" i="4"/>
  <c r="R203" i="5" s="1"/>
  <c r="M162" i="4"/>
  <c r="R237" i="5" s="1"/>
  <c r="M198" i="4"/>
  <c r="R235" i="5" s="1"/>
  <c r="M100" i="4"/>
  <c r="R238" i="5" s="1"/>
  <c r="M118" i="4"/>
  <c r="R236" i="5" s="1"/>
  <c r="M415" i="4"/>
  <c r="X267" i="4"/>
  <c r="AI73" i="5" s="1"/>
  <c r="AN102" i="8" s="1"/>
  <c r="AZ102" i="8" s="1"/>
  <c r="P102" i="8" s="1"/>
  <c r="X142" i="4"/>
  <c r="AI125" i="5" s="1"/>
  <c r="AN11" i="8" s="1"/>
  <c r="AZ11" i="8" s="1"/>
  <c r="P11" i="8" s="1"/>
  <c r="X97" i="4"/>
  <c r="AI130" i="5" s="1"/>
  <c r="AN155" i="8" s="1"/>
  <c r="AZ155" i="8" s="1"/>
  <c r="P155" i="8" s="1"/>
  <c r="M149" i="4"/>
  <c r="R201" i="5" s="1"/>
  <c r="M117" i="4"/>
  <c r="R232" i="5" s="1"/>
  <c r="M192" i="4"/>
  <c r="R285" i="5" s="1"/>
  <c r="M146" i="4"/>
  <c r="R284" i="5" s="1"/>
  <c r="C248" i="4"/>
  <c r="C76" i="5" s="1"/>
  <c r="C291" i="4"/>
  <c r="C101" i="5" s="1"/>
  <c r="R130" i="8" s="1"/>
  <c r="C249" i="4"/>
  <c r="C99" i="5" s="1"/>
  <c r="C292" i="4"/>
  <c r="C143" i="5" s="1"/>
  <c r="R168" i="8" s="1"/>
  <c r="C252" i="4"/>
  <c r="C157" i="5" s="1"/>
  <c r="C243" i="4"/>
  <c r="C193" i="5" s="1"/>
  <c r="J317" i="4"/>
  <c r="N305" i="5" s="1"/>
  <c r="J320" i="4"/>
  <c r="N320" i="5" s="1"/>
  <c r="J334" i="4"/>
  <c r="N322" i="5" s="1"/>
  <c r="J329" i="4"/>
  <c r="N345" i="5" s="1"/>
  <c r="J336" i="4"/>
  <c r="N346" i="5" s="1"/>
  <c r="J319" i="4"/>
  <c r="N329" i="5" s="1"/>
  <c r="J348" i="4"/>
  <c r="N351" i="5" s="1"/>
  <c r="J325" i="4"/>
  <c r="N328" i="5" s="1"/>
  <c r="J341" i="4"/>
  <c r="N333" i="5" s="1"/>
  <c r="J335" i="4"/>
  <c r="N323" i="5" s="1"/>
  <c r="D211" i="4"/>
  <c r="E22" i="5" s="1"/>
  <c r="D214" i="4"/>
  <c r="E25" i="5" s="1"/>
  <c r="D215" i="4"/>
  <c r="E26" i="5" s="1"/>
  <c r="D213" i="4"/>
  <c r="E24" i="5" s="1"/>
  <c r="Q42" i="4"/>
  <c r="X16" i="5" s="1"/>
  <c r="Q43" i="4"/>
  <c r="X17" i="5" s="1"/>
  <c r="Q32" i="4"/>
  <c r="X129" i="5" s="1"/>
  <c r="Q8" i="4"/>
  <c r="X177" i="5" s="1"/>
  <c r="Q6" i="4"/>
  <c r="X175" i="5" s="1"/>
  <c r="Q260" i="4"/>
  <c r="X46" i="5" s="1"/>
  <c r="Q170" i="4"/>
  <c r="X68" i="5" s="1"/>
  <c r="Q172" i="4"/>
  <c r="X70" i="5" s="1"/>
  <c r="Q261" i="4"/>
  <c r="X96" i="5" s="1"/>
  <c r="Q295" i="4"/>
  <c r="X98" i="5" s="1"/>
  <c r="Q126" i="4"/>
  <c r="X162" i="5" s="1"/>
  <c r="Q199" i="4"/>
  <c r="X243" i="5" s="1"/>
  <c r="Q41" i="4"/>
  <c r="X279" i="5" s="1"/>
  <c r="E414" i="4"/>
  <c r="E398" i="4"/>
  <c r="E109" i="4"/>
  <c r="E125" i="4"/>
  <c r="E10" i="4"/>
  <c r="E409" i="4"/>
  <c r="E60" i="4"/>
  <c r="E38" i="4"/>
  <c r="E401" i="4"/>
  <c r="E200" i="4"/>
  <c r="E393" i="4"/>
  <c r="E218" i="4"/>
  <c r="E185" i="4"/>
  <c r="E187" i="4"/>
  <c r="E55" i="4"/>
  <c r="E413" i="4"/>
  <c r="X93" i="4"/>
  <c r="AI112" i="5" s="1"/>
  <c r="AN141" i="8" s="1"/>
  <c r="AZ141" i="8" s="1"/>
  <c r="X143" i="4"/>
  <c r="AI126" i="5" s="1"/>
  <c r="AN151" i="8" s="1"/>
  <c r="AZ151" i="8" s="1"/>
  <c r="P151" i="8" s="1"/>
  <c r="X139" i="4"/>
  <c r="AI110" i="5" s="1"/>
  <c r="AN139" i="8" s="1"/>
  <c r="X92" i="4"/>
  <c r="AI111" i="5" s="1"/>
  <c r="AN140" i="8" s="1"/>
  <c r="X98" i="4"/>
  <c r="AI163" i="5" s="1"/>
  <c r="AN186" i="8" s="1"/>
  <c r="AZ186" i="8" s="1"/>
  <c r="P186" i="8" s="1"/>
  <c r="X145" i="4"/>
  <c r="AI178" i="5" s="1"/>
  <c r="AN200" i="8" s="1"/>
  <c r="AZ200" i="8" s="1"/>
  <c r="P200" i="8" s="1"/>
  <c r="X118" i="4"/>
  <c r="AI236" i="5" s="1"/>
  <c r="AN248" i="8" s="1"/>
  <c r="X197" i="4"/>
  <c r="AI234" i="5" s="1"/>
  <c r="AN246" i="8" s="1"/>
  <c r="AZ246" i="8" s="1"/>
  <c r="P246" i="8" s="1"/>
  <c r="X162" i="4"/>
  <c r="AI237" i="5" s="1"/>
  <c r="AN249" i="8" s="1"/>
  <c r="AZ249" i="8" s="1"/>
  <c r="P249" i="8" s="1"/>
  <c r="X227" i="4"/>
  <c r="AI203" i="5" s="1"/>
  <c r="AN19" i="8" s="1"/>
  <c r="X198" i="4"/>
  <c r="AI235" i="5" s="1"/>
  <c r="AN247" i="8" s="1"/>
  <c r="X100" i="4"/>
  <c r="AI238" i="5" s="1"/>
  <c r="AN250" i="8" s="1"/>
  <c r="X415" i="4"/>
  <c r="AI409" i="5" s="1"/>
  <c r="AN400" i="8" s="1"/>
  <c r="AZ400" i="8" s="1"/>
  <c r="P400" i="8" s="1"/>
  <c r="AU90" i="5"/>
  <c r="X119" i="8"/>
  <c r="AV119" i="8" s="1"/>
  <c r="O262" i="4"/>
  <c r="U4" i="5" s="1"/>
  <c r="O22" i="4"/>
  <c r="U12" i="5" s="1"/>
  <c r="O59" i="4"/>
  <c r="U45" i="5" s="1"/>
  <c r="O299" i="4"/>
  <c r="U154" i="5" s="1"/>
  <c r="D139" i="4"/>
  <c r="E110" i="5" s="1"/>
  <c r="AD139" i="8" s="1"/>
  <c r="D93" i="4"/>
  <c r="E112" i="5" s="1"/>
  <c r="D143" i="4"/>
  <c r="E126" i="5" s="1"/>
  <c r="D92" i="4"/>
  <c r="E111" i="5" s="1"/>
  <c r="D145" i="4"/>
  <c r="E178" i="5" s="1"/>
  <c r="D98" i="4"/>
  <c r="E163" i="5" s="1"/>
  <c r="D198" i="4"/>
  <c r="E235" i="5" s="1"/>
  <c r="D100" i="4"/>
  <c r="E238" i="5" s="1"/>
  <c r="D118" i="4"/>
  <c r="E236" i="5" s="1"/>
  <c r="D227" i="4"/>
  <c r="E203" i="5" s="1"/>
  <c r="X75" i="8"/>
  <c r="AV75" i="8" s="1"/>
  <c r="AU44" i="5"/>
  <c r="I296" i="4"/>
  <c r="L156" i="5" s="1"/>
  <c r="I11" i="4"/>
  <c r="L255" i="5" s="1"/>
  <c r="I265" i="4"/>
  <c r="I263" i="4"/>
  <c r="I132" i="4"/>
  <c r="I112" i="4"/>
  <c r="I221" i="4"/>
  <c r="I279" i="4"/>
  <c r="I287" i="4"/>
  <c r="R249" i="4"/>
  <c r="R268" i="4"/>
  <c r="R292" i="4"/>
  <c r="R300" i="4"/>
  <c r="R248" i="4"/>
  <c r="R291" i="4"/>
  <c r="R252" i="4"/>
  <c r="R243" i="4"/>
  <c r="R41" i="4"/>
  <c r="R37" i="4"/>
  <c r="R126" i="4"/>
  <c r="R260" i="4"/>
  <c r="R39" i="4"/>
  <c r="R295" i="4"/>
  <c r="R199" i="4"/>
  <c r="R170" i="4"/>
  <c r="R206" i="4"/>
  <c r="R172" i="4"/>
  <c r="R261" i="4"/>
  <c r="Q36" i="4"/>
  <c r="X42" i="5" s="1"/>
  <c r="Q50" i="4"/>
  <c r="X38" i="5" s="1"/>
  <c r="Q52" i="4"/>
  <c r="X40" i="5" s="1"/>
  <c r="Q26" i="4"/>
  <c r="X49" i="5" s="1"/>
  <c r="Q54" i="4"/>
  <c r="X47" i="5" s="1"/>
  <c r="Q58" i="4"/>
  <c r="X41" i="5" s="1"/>
  <c r="Q3" i="4"/>
  <c r="X118" i="5" s="1"/>
  <c r="Q78" i="4"/>
  <c r="X121" i="5" s="1"/>
  <c r="Q166" i="4"/>
  <c r="X246" i="5" s="1"/>
  <c r="Q165" i="4"/>
  <c r="X245" i="5" s="1"/>
  <c r="Q124" i="4"/>
  <c r="X276" i="5" s="1"/>
  <c r="Q168" i="4"/>
  <c r="X248" i="5" s="1"/>
  <c r="Q402" i="4"/>
  <c r="X412" i="5" s="1"/>
  <c r="AB291" i="8"/>
  <c r="AY284" i="5"/>
  <c r="P43" i="4"/>
  <c r="W17" i="5" s="1"/>
  <c r="AJ52" i="8" s="1"/>
  <c r="P42" i="4"/>
  <c r="W16" i="5" s="1"/>
  <c r="AJ51" i="8" s="1"/>
  <c r="P32" i="4"/>
  <c r="W129" i="5" s="1"/>
  <c r="AJ154" i="8" s="1"/>
  <c r="AV154" i="8" s="1"/>
  <c r="L154" i="8" s="1"/>
  <c r="P6" i="4"/>
  <c r="W175" i="5" s="1"/>
  <c r="AJ197" i="8" s="1"/>
  <c r="P8" i="4"/>
  <c r="W177" i="5" s="1"/>
  <c r="AJ199" i="8" s="1"/>
  <c r="P30" i="4"/>
  <c r="W275" i="5" s="1"/>
  <c r="P220" i="4"/>
  <c r="W9" i="5" s="1"/>
  <c r="AJ45" i="8" s="1"/>
  <c r="P208" i="4"/>
  <c r="W75" i="5" s="1"/>
  <c r="AJ104" i="8" s="1"/>
  <c r="AV88" i="8"/>
  <c r="N372" i="4"/>
  <c r="T356" i="5" s="1"/>
  <c r="AI355" i="8" s="1"/>
  <c r="N363" i="4"/>
  <c r="T372" i="5" s="1"/>
  <c r="AI369" i="8" s="1"/>
  <c r="N362" i="4"/>
  <c r="T373" i="5" s="1"/>
  <c r="AI370" i="8" s="1"/>
  <c r="N352" i="4"/>
  <c r="T358" i="5" s="1"/>
  <c r="AI357" i="8" s="1"/>
  <c r="N364" i="4"/>
  <c r="T359" i="5" s="1"/>
  <c r="AI358" i="8" s="1"/>
  <c r="N353" i="4"/>
  <c r="T360" i="5" s="1"/>
  <c r="AI359" i="8" s="1"/>
  <c r="AZ93" i="2"/>
  <c r="AZ94" i="2"/>
  <c r="N371" i="4"/>
  <c r="T355" i="5" s="1"/>
  <c r="AI354" i="8" s="1"/>
  <c r="N373" i="4"/>
  <c r="T357" i="5" s="1"/>
  <c r="AI356" i="8" s="1"/>
  <c r="N354" i="4"/>
  <c r="T370" i="5" s="1"/>
  <c r="AI34" i="8" s="1"/>
  <c r="N355" i="4"/>
  <c r="T362" i="5" s="1"/>
  <c r="AI33" i="8" s="1"/>
  <c r="N359" i="4"/>
  <c r="T363" i="5" s="1"/>
  <c r="AI361" i="8" s="1"/>
  <c r="N361" i="4"/>
  <c r="T371" i="5" s="1"/>
  <c r="AI368" i="8" s="1"/>
  <c r="F84" i="4"/>
  <c r="H160" i="5" s="1"/>
  <c r="F82" i="4"/>
  <c r="H158" i="5" s="1"/>
  <c r="F157" i="4"/>
  <c r="H212" i="5" s="1"/>
  <c r="F288" i="4"/>
  <c r="H214" i="5" s="1"/>
  <c r="F155" i="4"/>
  <c r="H209" i="5" s="1"/>
  <c r="F156" i="4"/>
  <c r="H211" i="5" s="1"/>
  <c r="F158" i="4"/>
  <c r="C207" i="4"/>
  <c r="C72" i="5" s="1"/>
  <c r="C135" i="4"/>
  <c r="C74" i="5" s="1"/>
  <c r="C35" i="4"/>
  <c r="C173" i="5" s="1"/>
  <c r="C259" i="4"/>
  <c r="C297" i="5" s="1"/>
  <c r="C262" i="4"/>
  <c r="C4" i="5" s="1"/>
  <c r="C22" i="4"/>
  <c r="C12" i="5" s="1"/>
  <c r="R3" i="8" s="1"/>
  <c r="C130" i="4"/>
  <c r="C5" i="5" s="1"/>
  <c r="R2" i="8" s="1"/>
  <c r="C59" i="4"/>
  <c r="C45" i="5" s="1"/>
  <c r="C299" i="4"/>
  <c r="C154" i="5" s="1"/>
  <c r="M45" i="4"/>
  <c r="R31" i="5" s="1"/>
  <c r="M48" i="4"/>
  <c r="R233" i="5" s="1"/>
  <c r="M5" i="4"/>
  <c r="M7" i="4"/>
  <c r="M34" i="4"/>
  <c r="M9" i="4"/>
  <c r="W98" i="8"/>
  <c r="AU98" i="8" s="1"/>
  <c r="AT69" i="5"/>
  <c r="AL17" i="2"/>
  <c r="W84" i="8"/>
  <c r="AU84" i="8" s="1"/>
  <c r="AT55" i="5"/>
  <c r="AL11" i="2"/>
  <c r="W285" i="8"/>
  <c r="I90" i="5"/>
  <c r="F2" i="12"/>
  <c r="Z267" i="4"/>
  <c r="AL73" i="5" s="1"/>
  <c r="Z142" i="4"/>
  <c r="AL125" i="5" s="1"/>
  <c r="Z97" i="4"/>
  <c r="AL130" i="5" s="1"/>
  <c r="Z269" i="4"/>
  <c r="AL2" i="5" s="1"/>
  <c r="Z272" i="4"/>
  <c r="AL50" i="5" s="1"/>
  <c r="Z234" i="4"/>
  <c r="AL30" i="5" s="1"/>
  <c r="Z205" i="4"/>
  <c r="AL53" i="5" s="1"/>
  <c r="BA44" i="5"/>
  <c r="AO75" i="8"/>
  <c r="Z4" i="4"/>
  <c r="AL174" i="5" s="1"/>
  <c r="Z179" i="4"/>
  <c r="AL261" i="5" s="1"/>
  <c r="Z61" i="4"/>
  <c r="AL262" i="5" s="1"/>
  <c r="BL84" i="2"/>
  <c r="BL85" i="2"/>
  <c r="P195" i="4"/>
  <c r="W228" i="5" s="1"/>
  <c r="AJ24" i="8" s="1"/>
  <c r="P133" i="4"/>
  <c r="W226" i="5" s="1"/>
  <c r="AJ239" i="8" s="1"/>
  <c r="AV239" i="8" s="1"/>
  <c r="L239" i="8" s="1"/>
  <c r="E77" i="4"/>
  <c r="F119" i="5" s="1"/>
  <c r="E286" i="4"/>
  <c r="F108" i="5" s="1"/>
  <c r="E241" i="4"/>
  <c r="F128" i="5" s="1"/>
  <c r="E284" i="4"/>
  <c r="F106" i="5" s="1"/>
  <c r="E293" i="4"/>
  <c r="F89" i="5" s="1"/>
  <c r="E290" i="4"/>
  <c r="F140" i="5" s="1"/>
  <c r="E27" i="4"/>
  <c r="F264" i="5" s="1"/>
  <c r="AW91" i="2"/>
  <c r="AW90" i="2"/>
  <c r="I123" i="4"/>
  <c r="I194" i="4"/>
  <c r="I245" i="4"/>
  <c r="I131" i="4"/>
  <c r="I122" i="4"/>
  <c r="I246" i="4"/>
  <c r="C23" i="4"/>
  <c r="C13" i="5" s="1"/>
  <c r="R48" i="8" s="1"/>
  <c r="C53" i="4"/>
  <c r="C43" i="5" s="1"/>
  <c r="C298" i="4"/>
  <c r="C124" i="5" s="1"/>
  <c r="W221" i="8"/>
  <c r="AL33" i="2"/>
  <c r="AT206" i="5"/>
  <c r="E23" i="4"/>
  <c r="F13" i="5" s="1"/>
  <c r="E412" i="4"/>
  <c r="E298" i="4"/>
  <c r="E53" i="4"/>
  <c r="E403" i="4"/>
  <c r="M163" i="4"/>
  <c r="R239" i="5" s="1"/>
  <c r="M164" i="4"/>
  <c r="R240" i="5" s="1"/>
  <c r="R148" i="4"/>
  <c r="R212" i="4"/>
  <c r="R210" i="4"/>
  <c r="R147" i="4"/>
  <c r="AX386" i="5"/>
  <c r="I191" i="4"/>
  <c r="I190" i="4"/>
  <c r="I129" i="4"/>
  <c r="X71" i="4"/>
  <c r="AI190" i="5" s="1"/>
  <c r="AN17" i="8" s="1"/>
  <c r="X73" i="4"/>
  <c r="AI192" i="5" s="1"/>
  <c r="AN211" i="8" s="1"/>
  <c r="X222" i="4"/>
  <c r="AI269" i="5" s="1"/>
  <c r="AN277" i="8" s="1"/>
  <c r="M346" i="4"/>
  <c r="R340" i="5" s="1"/>
  <c r="M326" i="4"/>
  <c r="R342" i="5" s="1"/>
  <c r="M328" i="4"/>
  <c r="R344" i="5" s="1"/>
  <c r="M333" i="4"/>
  <c r="R350" i="5" s="1"/>
  <c r="I237" i="4"/>
  <c r="I242" i="4"/>
  <c r="I228" i="4"/>
  <c r="AU87" i="2"/>
  <c r="AU88" i="2"/>
  <c r="I18" i="4"/>
  <c r="L185" i="5" s="1"/>
  <c r="I24" i="4"/>
  <c r="L182" i="5" s="1"/>
  <c r="I14" i="4"/>
  <c r="L180" i="5" s="1"/>
  <c r="I174" i="4"/>
  <c r="I302" i="4"/>
  <c r="I173" i="4"/>
  <c r="AV225" i="5"/>
  <c r="AJ238" i="8"/>
  <c r="W261" i="8"/>
  <c r="M223" i="4"/>
  <c r="R15" i="5" s="1"/>
  <c r="M83" i="4"/>
  <c r="R159" i="5" s="1"/>
  <c r="M157" i="4"/>
  <c r="R212" i="5" s="1"/>
  <c r="M84" i="4"/>
  <c r="R160" i="5" s="1"/>
  <c r="M288" i="4"/>
  <c r="R214" i="5" s="1"/>
  <c r="M155" i="4"/>
  <c r="R209" i="5" s="1"/>
  <c r="M156" i="4"/>
  <c r="R211" i="5" s="1"/>
  <c r="M158" i="4"/>
  <c r="R258" i="5" s="1"/>
  <c r="AR386" i="5"/>
  <c r="AF53" i="2"/>
  <c r="U276" i="4" a="1"/>
  <c r="U276" i="4" s="1"/>
  <c r="AD302" i="5" s="1"/>
  <c r="M133" i="4"/>
  <c r="R226" i="5" s="1"/>
  <c r="T36" i="4" a="1"/>
  <c r="T36" i="4" s="1"/>
  <c r="AC42" i="5" s="1"/>
  <c r="AL73" i="8" s="1"/>
  <c r="AX73" i="8" s="1"/>
  <c r="N73" i="8" s="1"/>
  <c r="T11" i="4" a="1"/>
  <c r="T11" i="4" s="1"/>
  <c r="AC255" i="5" s="1"/>
  <c r="AL264" i="8" s="1"/>
  <c r="AX264" i="8" s="1"/>
  <c r="N264" i="8" s="1"/>
  <c r="C110" i="4"/>
  <c r="C88" i="5" s="1"/>
  <c r="R117" i="8" s="1"/>
  <c r="AP117" i="8" s="1"/>
  <c r="C79" i="4"/>
  <c r="C131" i="5" s="1"/>
  <c r="C31" i="4"/>
  <c r="C127" i="5" s="1"/>
  <c r="C253" i="4"/>
  <c r="C168" i="5" s="1"/>
  <c r="I253" i="4"/>
  <c r="I79" i="4"/>
  <c r="I110" i="4"/>
  <c r="I31" i="4"/>
  <c r="D31" i="4"/>
  <c r="E127" i="5" s="1"/>
  <c r="D253" i="4"/>
  <c r="E168" i="5" s="1"/>
  <c r="M309" i="4"/>
  <c r="R308" i="5" s="1"/>
  <c r="M316" i="4"/>
  <c r="R318" i="5" s="1"/>
  <c r="M315" i="4"/>
  <c r="R316" i="5" s="1"/>
  <c r="M347" i="4"/>
  <c r="R336" i="5" s="1"/>
  <c r="M307" i="4"/>
  <c r="R317" i="5" s="1"/>
  <c r="F163" i="4"/>
  <c r="H239" i="5" s="1"/>
  <c r="AV60" i="5"/>
  <c r="Y89" i="8"/>
  <c r="T42" i="4" a="1"/>
  <c r="T42" i="4" s="1"/>
  <c r="AC16" i="5" s="1"/>
  <c r="AL51" i="8" s="1"/>
  <c r="T44" i="4" a="1"/>
  <c r="T44" i="4" s="1"/>
  <c r="AC18" i="5" s="1"/>
  <c r="AL53" i="8" s="1"/>
  <c r="T43" i="4" a="1"/>
  <c r="T43" i="4" s="1"/>
  <c r="AC17" i="5" s="1"/>
  <c r="AL52" i="8" s="1"/>
  <c r="T196" i="4" a="1"/>
  <c r="T196" i="4" s="1"/>
  <c r="AC8" i="5" s="1"/>
  <c r="AL44" i="8" s="1"/>
  <c r="T289" i="4" a="1"/>
  <c r="T289" i="4" s="1"/>
  <c r="AC52" i="5" s="1"/>
  <c r="AL81" i="8" s="1"/>
  <c r="T33" i="4" a="1"/>
  <c r="T33" i="4" s="1"/>
  <c r="AC137" i="5" s="1"/>
  <c r="AL162" i="8" s="1"/>
  <c r="T243" i="4" a="1"/>
  <c r="T243" i="4" s="1"/>
  <c r="AC193" i="5" s="1"/>
  <c r="AL212" i="8" s="1"/>
  <c r="T255" i="4" a="1"/>
  <c r="T255" i="4" s="1"/>
  <c r="AC195" i="5" s="1"/>
  <c r="AL214" i="8" s="1"/>
  <c r="T271" i="4" a="1"/>
  <c r="T271" i="4" s="1"/>
  <c r="AC225" i="5" s="1"/>
  <c r="AL238" i="8" s="1"/>
  <c r="T199" i="4" a="1"/>
  <c r="T199" i="4" s="1"/>
  <c r="AC243" i="5" s="1"/>
  <c r="AL254" i="8" s="1"/>
  <c r="AX254" i="8" s="1"/>
  <c r="N254" i="8" s="1"/>
  <c r="T195" i="4" a="1"/>
  <c r="T195" i="4" s="1"/>
  <c r="AC228" i="5" s="1"/>
  <c r="AL24" i="8" s="1"/>
  <c r="T274" i="4" a="1"/>
  <c r="T274" i="4" s="1"/>
  <c r="AC288" i="5" s="1"/>
  <c r="AL295" i="8" s="1"/>
  <c r="T222" i="4" a="1"/>
  <c r="T222" i="4" s="1"/>
  <c r="AC269" i="5" s="1"/>
  <c r="AL277" i="8" s="1"/>
  <c r="T190" i="4" a="1"/>
  <c r="T190" i="4" s="1"/>
  <c r="AC281" i="5" s="1"/>
  <c r="AL288" i="8" s="1"/>
  <c r="AX288" i="8" s="1"/>
  <c r="T281" i="4" a="1"/>
  <c r="T281" i="4" s="1"/>
  <c r="AC292" i="5" s="1"/>
  <c r="AL299" i="8" s="1"/>
  <c r="AX299" i="8" s="1"/>
  <c r="T251" i="4" a="1"/>
  <c r="T251" i="4" s="1"/>
  <c r="AC280" i="5" s="1"/>
  <c r="AL287" i="8" s="1"/>
  <c r="W229" i="4"/>
  <c r="AG28" i="5" s="1"/>
  <c r="U44" i="4" a="1"/>
  <c r="U44" i="4" s="1"/>
  <c r="AD18" i="5" s="1"/>
  <c r="W230" i="4"/>
  <c r="AG220" i="5" s="1"/>
  <c r="E110" i="4"/>
  <c r="F88" i="5" s="1"/>
  <c r="T127" i="4" a="1"/>
  <c r="T127" i="4" s="1"/>
  <c r="AC171" i="5" s="1"/>
  <c r="AL194" i="8" s="1"/>
  <c r="AX194" i="8" s="1"/>
  <c r="N194" i="8" s="1"/>
  <c r="L164" i="4"/>
  <c r="Q240" i="5" s="1"/>
  <c r="S172" i="4"/>
  <c r="AA70" i="5" s="1"/>
  <c r="D220" i="4"/>
  <c r="E9" i="5" s="1"/>
  <c r="AD45" i="8" s="1"/>
  <c r="F223" i="4"/>
  <c r="H15" i="5" s="1"/>
  <c r="E140" i="4"/>
  <c r="F14" i="5" s="1"/>
  <c r="O181" i="4"/>
  <c r="U10" i="5" s="1"/>
  <c r="U130" i="4" a="1"/>
  <c r="U130" i="4" s="1"/>
  <c r="AD5" i="5" s="1"/>
  <c r="D233" i="4"/>
  <c r="E29" i="5" s="1"/>
  <c r="T181" i="4" a="1"/>
  <c r="T181" i="4" s="1"/>
  <c r="AC10" i="5" s="1"/>
  <c r="AL46" i="8" s="1"/>
  <c r="P51" i="4"/>
  <c r="W39" i="5" s="1"/>
  <c r="AJ70" i="8" s="1"/>
  <c r="T213" i="4" a="1"/>
  <c r="T213" i="4" s="1"/>
  <c r="AC24" i="5" s="1"/>
  <c r="AL57" i="8" s="1"/>
  <c r="D38" i="4"/>
  <c r="E63" i="5" s="1"/>
  <c r="M26" i="4"/>
  <c r="R49" i="5" s="1"/>
  <c r="H39" i="4"/>
  <c r="K64" i="5" s="1"/>
  <c r="D111" i="4"/>
  <c r="E94" i="5" s="1"/>
  <c r="S236" i="4"/>
  <c r="AA95" i="5" s="1"/>
  <c r="AF81" i="2"/>
  <c r="H293" i="4"/>
  <c r="K89" i="5" s="1"/>
  <c r="U97" i="4" a="1"/>
  <c r="U97" i="4" s="1"/>
  <c r="AD130" i="5" s="1"/>
  <c r="S91" i="4"/>
  <c r="AA92" i="5" s="1"/>
  <c r="T206" i="4" a="1"/>
  <c r="T206" i="4" s="1"/>
  <c r="AC71" i="5" s="1"/>
  <c r="AL100" i="8" s="1"/>
  <c r="AX100" i="8" s="1"/>
  <c r="N100" i="8" s="1"/>
  <c r="U93" i="4" a="1"/>
  <c r="U93" i="4" s="1"/>
  <c r="AD112" i="5" s="1"/>
  <c r="T184" i="4" a="1"/>
  <c r="T184" i="4" s="1"/>
  <c r="AC132" i="5" s="1"/>
  <c r="AL157" i="8" s="1"/>
  <c r="M268" i="4"/>
  <c r="R100" i="5" s="1"/>
  <c r="T139" i="4" a="1"/>
  <c r="T139" i="4" s="1"/>
  <c r="AC110" i="5" s="1"/>
  <c r="AL139" i="8" s="1"/>
  <c r="U34" i="4" a="1"/>
  <c r="U34" i="4" s="1"/>
  <c r="AD149" i="5" s="1"/>
  <c r="C300" i="4"/>
  <c r="C153" i="5" s="1"/>
  <c r="T32" i="4" a="1"/>
  <c r="T32" i="4" s="1"/>
  <c r="AC129" i="5" s="1"/>
  <c r="AL154" i="8" s="1"/>
  <c r="U238" i="4" a="1"/>
  <c r="U238" i="4" s="1"/>
  <c r="AD105" i="5" s="1"/>
  <c r="X186" i="4"/>
  <c r="AI150" i="5" s="1"/>
  <c r="AN174" i="8" s="1"/>
  <c r="AZ174" i="8" s="1"/>
  <c r="P174" i="8" s="1"/>
  <c r="C33" i="4"/>
  <c r="C137" i="5" s="1"/>
  <c r="D296" i="4"/>
  <c r="E156" i="5" s="1"/>
  <c r="U31" i="4" a="1"/>
  <c r="U31" i="4" s="1"/>
  <c r="AD127" i="5" s="1"/>
  <c r="C94" i="4"/>
  <c r="C120" i="5" s="1"/>
  <c r="Y224" i="4"/>
  <c r="AJ169" i="5" s="1"/>
  <c r="T34" i="4" a="1"/>
  <c r="T34" i="4" s="1"/>
  <c r="AC149" i="5" s="1"/>
  <c r="AL173" i="8" s="1"/>
  <c r="F16" i="4"/>
  <c r="H183" i="5" s="1"/>
  <c r="Z99" i="4"/>
  <c r="AL166" i="5" s="1"/>
  <c r="H300" i="4"/>
  <c r="K153" i="5" s="1"/>
  <c r="AF177" i="8" s="1"/>
  <c r="AR177" i="8" s="1"/>
  <c r="H177" i="8" s="1"/>
  <c r="M189" i="4"/>
  <c r="R167" i="5" s="1"/>
  <c r="D70" i="4"/>
  <c r="E172" i="5" s="1"/>
  <c r="Q83" i="4"/>
  <c r="X159" i="5" s="1"/>
  <c r="P33" i="4"/>
  <c r="W137" i="5" s="1"/>
  <c r="AJ162" i="8" s="1"/>
  <c r="AV162" i="8" s="1"/>
  <c r="L162" i="8" s="1"/>
  <c r="Y189" i="4"/>
  <c r="AJ167" i="5" s="1"/>
  <c r="M254" i="4"/>
  <c r="R194" i="5" s="1"/>
  <c r="L114" i="4"/>
  <c r="Q138" i="5" s="1"/>
  <c r="AH163" i="8" s="1"/>
  <c r="AT163" i="8" s="1"/>
  <c r="J163" i="8" s="1"/>
  <c r="X159" i="4"/>
  <c r="AI215" i="5" s="1"/>
  <c r="AN23" i="8" s="1"/>
  <c r="AZ23" i="8" s="1"/>
  <c r="P23" i="8" s="1"/>
  <c r="Z217" i="4"/>
  <c r="AL227" i="5" s="1"/>
  <c r="D85" i="4"/>
  <c r="E224" i="5" s="1"/>
  <c r="S131" i="4"/>
  <c r="AA199" i="5" s="1"/>
  <c r="T98" i="4" a="1"/>
  <c r="T98" i="4" s="1"/>
  <c r="AC163" i="5" s="1"/>
  <c r="AL186" i="8" s="1"/>
  <c r="T264" i="4" a="1"/>
  <c r="T264" i="4" s="1"/>
  <c r="AC198" i="5" s="1"/>
  <c r="AL217" i="8" s="1"/>
  <c r="T256" i="4" a="1"/>
  <c r="T256" i="4" s="1"/>
  <c r="AC213" i="5" s="1"/>
  <c r="AL228" i="8" s="1"/>
  <c r="U24" i="4" a="1"/>
  <c r="U24" i="4" s="1"/>
  <c r="AD182" i="5" s="1"/>
  <c r="D218" i="4"/>
  <c r="E242" i="5" s="1"/>
  <c r="M145" i="4"/>
  <c r="R178" i="5" s="1"/>
  <c r="Z201" i="4"/>
  <c r="AL249" i="5" s="1"/>
  <c r="P258" i="4"/>
  <c r="W296" i="5" s="1"/>
  <c r="AJ29" i="8" s="1"/>
  <c r="D258" i="4"/>
  <c r="E296" i="5" s="1"/>
  <c r="L204" i="4"/>
  <c r="Q251" i="5" s="1"/>
  <c r="AH261" i="8" s="1"/>
  <c r="AT261" i="8" s="1"/>
  <c r="J261" i="8" s="1"/>
  <c r="AX264" i="5"/>
  <c r="AA273" i="8"/>
  <c r="T74" i="4" a="1"/>
  <c r="T74" i="4" s="1"/>
  <c r="AC208" i="5" s="1"/>
  <c r="AL223" i="8" s="1"/>
  <c r="C57" i="4"/>
  <c r="C257" i="5" s="1"/>
  <c r="M257" i="4"/>
  <c r="R295" i="5" s="1"/>
  <c r="U95" i="4" a="1"/>
  <c r="U95" i="4" s="1"/>
  <c r="AD273" i="5" s="1"/>
  <c r="T162" i="4" a="1"/>
  <c r="T162" i="4" s="1"/>
  <c r="AC237" i="5" s="1"/>
  <c r="AL249" i="8" s="1"/>
  <c r="Z132" i="4"/>
  <c r="AL294" i="5" s="1"/>
  <c r="L117" i="4"/>
  <c r="Q232" i="5" s="1"/>
  <c r="AH244" i="8" s="1"/>
  <c r="AT244" i="8" s="1"/>
  <c r="J244" i="8" s="1"/>
  <c r="H66" i="4"/>
  <c r="K277" i="5" s="1"/>
  <c r="AF285" i="8" s="1"/>
  <c r="AR285" i="8" s="1"/>
  <c r="H285" i="8" s="1"/>
  <c r="U11" i="4" a="1"/>
  <c r="U11" i="4" s="1"/>
  <c r="AD255" i="5" s="1"/>
  <c r="P66" i="4"/>
  <c r="W277" i="5" s="1"/>
  <c r="AJ285" i="8" s="1"/>
  <c r="U231" i="4" a="1"/>
  <c r="U231" i="4" s="1"/>
  <c r="AD221" i="5" s="1"/>
  <c r="U357" i="4"/>
  <c r="AD361" i="5" s="1"/>
  <c r="I338" i="4"/>
  <c r="L332" i="5" s="1"/>
  <c r="V331" i="4"/>
  <c r="AF348" i="5" s="1"/>
  <c r="I334" i="4"/>
  <c r="L322" i="5" s="1"/>
  <c r="X373" i="4"/>
  <c r="AI357" i="5" s="1"/>
  <c r="AN356" i="8" s="1"/>
  <c r="Y355" i="4"/>
  <c r="AJ362" i="5" s="1"/>
  <c r="X371" i="4"/>
  <c r="AI355" i="5" s="1"/>
  <c r="AN354" i="8" s="1"/>
  <c r="X379" i="4"/>
  <c r="AI379" i="5" s="1"/>
  <c r="AN375" i="8" s="1"/>
  <c r="V367" i="4"/>
  <c r="AF368" i="5" s="1"/>
  <c r="AM366" i="8" s="1"/>
  <c r="AS381" i="8"/>
  <c r="U380" i="4"/>
  <c r="AD380" i="5" s="1"/>
  <c r="U377" i="4"/>
  <c r="AD377" i="5" s="1"/>
  <c r="U374" i="4"/>
  <c r="AD374" i="5" s="1"/>
  <c r="U378" i="4"/>
  <c r="AD378" i="5" s="1"/>
  <c r="U376" i="4"/>
  <c r="AD376" i="5" s="1"/>
  <c r="U375" i="4"/>
  <c r="AD375" i="5" s="1"/>
  <c r="U382" i="4"/>
  <c r="AD382" i="5" s="1"/>
  <c r="U381" i="4"/>
  <c r="AD381" i="5" s="1"/>
  <c r="U379" i="4"/>
  <c r="AD379" i="5" s="1"/>
  <c r="AC17" i="2"/>
  <c r="AP69" i="5"/>
  <c r="AD98" i="8"/>
  <c r="AP98" i="8" s="1"/>
  <c r="F98" i="8" s="1"/>
  <c r="H376" i="4"/>
  <c r="K376" i="5" s="1"/>
  <c r="AF372" i="8" s="1"/>
  <c r="AR372" i="8" s="1"/>
  <c r="H372" i="8" s="1"/>
  <c r="H380" i="4"/>
  <c r="K380" i="5" s="1"/>
  <c r="AF376" i="8" s="1"/>
  <c r="AR376" i="8" s="1"/>
  <c r="H376" i="8" s="1"/>
  <c r="H379" i="4"/>
  <c r="K379" i="5" s="1"/>
  <c r="AF375" i="8" s="1"/>
  <c r="AR375" i="8" s="1"/>
  <c r="H375" i="8" s="1"/>
  <c r="H375" i="4"/>
  <c r="K375" i="5" s="1"/>
  <c r="AF371" i="8" s="1"/>
  <c r="AR371" i="8" s="1"/>
  <c r="H371" i="8" s="1"/>
  <c r="H377" i="4"/>
  <c r="K377" i="5" s="1"/>
  <c r="AF373" i="8" s="1"/>
  <c r="AR373" i="8" s="1"/>
  <c r="H373" i="8" s="1"/>
  <c r="H383" i="4"/>
  <c r="K383" i="5" s="1"/>
  <c r="AF379" i="8" s="1"/>
  <c r="AR379" i="8" s="1"/>
  <c r="H379" i="8" s="1"/>
  <c r="H374" i="4"/>
  <c r="K374" i="5" s="1"/>
  <c r="AF35" i="8" s="1"/>
  <c r="AR35" i="8" s="1"/>
  <c r="H35" i="8" s="1"/>
  <c r="I262" i="4"/>
  <c r="L4" i="5" s="1"/>
  <c r="I130" i="4"/>
  <c r="I59" i="4"/>
  <c r="I22" i="4"/>
  <c r="I299" i="4"/>
  <c r="I89" i="4"/>
  <c r="Q74" i="4"/>
  <c r="X208" i="5" s="1"/>
  <c r="Q19" i="4"/>
  <c r="X186" i="5" s="1"/>
  <c r="Q282" i="4"/>
  <c r="X222" i="5" s="1"/>
  <c r="Q407" i="4"/>
  <c r="X395" i="5" s="1"/>
  <c r="Z152" i="4"/>
  <c r="AL205" i="5" s="1"/>
  <c r="Z151" i="4"/>
  <c r="AL204" i="5" s="1"/>
  <c r="Q317" i="4"/>
  <c r="X305" i="5" s="1"/>
  <c r="Q329" i="4"/>
  <c r="X345" i="5" s="1"/>
  <c r="Q336" i="4"/>
  <c r="X346" i="5" s="1"/>
  <c r="Q320" i="4"/>
  <c r="X320" i="5" s="1"/>
  <c r="Q319" i="4"/>
  <c r="X329" i="5" s="1"/>
  <c r="Q348" i="4"/>
  <c r="X351" i="5" s="1"/>
  <c r="Q322" i="4"/>
  <c r="X325" i="5" s="1"/>
  <c r="Q325" i="4"/>
  <c r="X328" i="5" s="1"/>
  <c r="Q335" i="4"/>
  <c r="X323" i="5" s="1"/>
  <c r="Q341" i="4"/>
  <c r="X333" i="5" s="1"/>
  <c r="Q342" i="4"/>
  <c r="X334" i="5" s="1"/>
  <c r="V313" i="4"/>
  <c r="AF312" i="5" s="1"/>
  <c r="V310" i="4"/>
  <c r="AF309" i="5" s="1"/>
  <c r="V312" i="4"/>
  <c r="AF311" i="5" s="1"/>
  <c r="V349" i="4"/>
  <c r="AF335" i="5" s="1"/>
  <c r="BH91" i="2"/>
  <c r="BH90" i="2"/>
  <c r="H237" i="4"/>
  <c r="K104" i="5" s="1"/>
  <c r="H242" i="4"/>
  <c r="K146" i="5" s="1"/>
  <c r="H228" i="4"/>
  <c r="K218" i="5" s="1"/>
  <c r="AT88" i="2"/>
  <c r="AT87" i="2"/>
  <c r="I294" i="4"/>
  <c r="L144" i="5" s="1"/>
  <c r="I226" i="4"/>
  <c r="L197" i="5" s="1"/>
  <c r="I255" i="4"/>
  <c r="I301" i="4"/>
  <c r="I264" i="4"/>
  <c r="I254" i="4"/>
  <c r="J12" i="4"/>
  <c r="J66" i="4"/>
  <c r="N277" i="5" s="1"/>
  <c r="R117" i="4"/>
  <c r="R146" i="4"/>
  <c r="R128" i="4"/>
  <c r="R149" i="4"/>
  <c r="R192" i="4"/>
  <c r="D234" i="4"/>
  <c r="E30" i="5" s="1"/>
  <c r="D205" i="4"/>
  <c r="E53" i="5" s="1"/>
  <c r="S265" i="4"/>
  <c r="AA6" i="5" s="1"/>
  <c r="S221" i="4"/>
  <c r="AA80" i="5" s="1"/>
  <c r="S112" i="4"/>
  <c r="AA274" i="5" s="1"/>
  <c r="S279" i="4"/>
  <c r="AA286" i="5" s="1"/>
  <c r="S263" i="4"/>
  <c r="AA289" i="5" s="1"/>
  <c r="S287" i="4"/>
  <c r="AA287" i="5" s="1"/>
  <c r="C267" i="4"/>
  <c r="C73" i="5" s="1"/>
  <c r="C97" i="4"/>
  <c r="C130" i="5" s="1"/>
  <c r="C269" i="4"/>
  <c r="C2" i="5" s="1"/>
  <c r="H211" i="4"/>
  <c r="K22" i="5" s="1"/>
  <c r="H214" i="4"/>
  <c r="K25" i="5" s="1"/>
  <c r="H215" i="4"/>
  <c r="K26" i="5" s="1"/>
  <c r="H213" i="4"/>
  <c r="K24" i="5" s="1"/>
  <c r="J185" i="4"/>
  <c r="N136" i="5" s="1"/>
  <c r="J187" i="4"/>
  <c r="N151" i="5" s="1"/>
  <c r="J200" i="4"/>
  <c r="J109" i="4"/>
  <c r="J10" i="4"/>
  <c r="J125" i="4"/>
  <c r="J60" i="4"/>
  <c r="J218" i="4"/>
  <c r="J38" i="4"/>
  <c r="J55" i="4"/>
  <c r="S229" i="4"/>
  <c r="AA28" i="5" s="1"/>
  <c r="S250" i="4"/>
  <c r="AA103" i="5" s="1"/>
  <c r="S20" i="4"/>
  <c r="AA187" i="5" s="1"/>
  <c r="S230" i="4"/>
  <c r="AA220" i="5" s="1"/>
  <c r="S256" i="4"/>
  <c r="AA213" i="5" s="1"/>
  <c r="S29" i="4"/>
  <c r="AA268" i="5" s="1"/>
  <c r="O207" i="5"/>
  <c r="AN207" i="5" s="1"/>
  <c r="AG222" i="8"/>
  <c r="AS222" i="8" s="1"/>
  <c r="P69" i="4"/>
  <c r="W170" i="5" s="1"/>
  <c r="AJ193" i="8" s="1"/>
  <c r="P410" i="4"/>
  <c r="W404" i="5" s="1"/>
  <c r="AJ396" i="8" s="1"/>
  <c r="AV396" i="8" s="1"/>
  <c r="L396" i="8" s="1"/>
  <c r="P273" i="4"/>
  <c r="W51" i="5" s="1"/>
  <c r="AJ80" i="8" s="1"/>
  <c r="P289" i="4"/>
  <c r="W52" i="5" s="1"/>
  <c r="AJ81" i="8" s="1"/>
  <c r="AV81" i="8" s="1"/>
  <c r="L81" i="8" s="1"/>
  <c r="R4" i="4"/>
  <c r="Z174" i="5" s="1"/>
  <c r="AK196" i="8" s="1"/>
  <c r="R179" i="4"/>
  <c r="R102" i="4"/>
  <c r="R61" i="4"/>
  <c r="BD85" i="2"/>
  <c r="BD84" i="2"/>
  <c r="P265" i="4"/>
  <c r="W6" i="5" s="1"/>
  <c r="AJ42" i="8" s="1"/>
  <c r="P221" i="4"/>
  <c r="W80" i="5" s="1"/>
  <c r="AJ109" i="8" s="1"/>
  <c r="P11" i="4"/>
  <c r="W255" i="5" s="1"/>
  <c r="AJ264" i="8" s="1"/>
  <c r="P132" i="4"/>
  <c r="W294" i="5" s="1"/>
  <c r="AJ301" i="8" s="1"/>
  <c r="AV301" i="8" s="1"/>
  <c r="L301" i="8" s="1"/>
  <c r="P263" i="4"/>
  <c r="W289" i="5" s="1"/>
  <c r="AJ296" i="8" s="1"/>
  <c r="P287" i="4"/>
  <c r="W287" i="5" s="1"/>
  <c r="AJ294" i="8" s="1"/>
  <c r="P112" i="4"/>
  <c r="W274" i="5" s="1"/>
  <c r="AJ282" i="8" s="1"/>
  <c r="E139" i="4"/>
  <c r="F110" i="5" s="1"/>
  <c r="E93" i="4"/>
  <c r="E143" i="4"/>
  <c r="E162" i="4"/>
  <c r="E145" i="4"/>
  <c r="E92" i="4"/>
  <c r="E98" i="4"/>
  <c r="E189" i="4"/>
  <c r="E227" i="4"/>
  <c r="E118" i="4"/>
  <c r="E415" i="4"/>
  <c r="E100" i="4"/>
  <c r="E197" i="4"/>
  <c r="E198" i="4"/>
  <c r="P267" i="4"/>
  <c r="W73" i="5" s="1"/>
  <c r="AJ102" i="8" s="1"/>
  <c r="AV102" i="8" s="1"/>
  <c r="L102" i="8" s="1"/>
  <c r="P97" i="4"/>
  <c r="W130" i="5" s="1"/>
  <c r="AJ155" i="8" s="1"/>
  <c r="AV155" i="8" s="1"/>
  <c r="L155" i="8" s="1"/>
  <c r="P269" i="4"/>
  <c r="W2" i="5" s="1"/>
  <c r="AJ39" i="8" s="1"/>
  <c r="AV39" i="8" s="1"/>
  <c r="L39" i="8" s="1"/>
  <c r="F114" i="4"/>
  <c r="F150" i="4"/>
  <c r="I168" i="4"/>
  <c r="I165" i="4"/>
  <c r="I78" i="4"/>
  <c r="I52" i="4"/>
  <c r="I124" i="4"/>
  <c r="I54" i="4"/>
  <c r="I51" i="4"/>
  <c r="I26" i="4"/>
  <c r="I166" i="4"/>
  <c r="I58" i="4"/>
  <c r="I167" i="4"/>
  <c r="I36" i="4"/>
  <c r="I3" i="4"/>
  <c r="I50" i="4"/>
  <c r="X175" i="4"/>
  <c r="AI81" i="5" s="1"/>
  <c r="AN110" i="8" s="1"/>
  <c r="AZ110" i="8" s="1"/>
  <c r="P110" i="8" s="1"/>
  <c r="X178" i="4"/>
  <c r="AI85" i="5" s="1"/>
  <c r="AN114" i="8" s="1"/>
  <c r="AZ114" i="8" s="1"/>
  <c r="P114" i="8" s="1"/>
  <c r="X136" i="4"/>
  <c r="AI84" i="5" s="1"/>
  <c r="AN113" i="8" s="1"/>
  <c r="AZ113" i="8" s="1"/>
  <c r="P113" i="8" s="1"/>
  <c r="X177" i="4"/>
  <c r="AI83" i="5" s="1"/>
  <c r="AN112" i="8" s="1"/>
  <c r="AZ112" i="8" s="1"/>
  <c r="P112" i="8" s="1"/>
  <c r="X76" i="4"/>
  <c r="AI115" i="5" s="1"/>
  <c r="AN143" i="8" s="1"/>
  <c r="AZ143" i="8" s="1"/>
  <c r="P143" i="8" s="1"/>
  <c r="X25" i="4"/>
  <c r="AI252" i="5" s="1"/>
  <c r="AN262" i="8" s="1"/>
  <c r="AZ262" i="8" s="1"/>
  <c r="P262" i="8" s="1"/>
  <c r="X275" i="4"/>
  <c r="AI300" i="5" s="1"/>
  <c r="X289" i="4"/>
  <c r="AI52" i="5" s="1"/>
  <c r="AN81" i="8" s="1"/>
  <c r="X75" i="4"/>
  <c r="AI250" i="5" s="1"/>
  <c r="AN260" i="8" s="1"/>
  <c r="AZ260" i="8" s="1"/>
  <c r="P260" i="8" s="1"/>
  <c r="J146" i="4"/>
  <c r="J128" i="4"/>
  <c r="J188" i="4"/>
  <c r="J192" i="4"/>
  <c r="J117" i="4"/>
  <c r="J149" i="4"/>
  <c r="R313" i="4"/>
  <c r="R312" i="4"/>
  <c r="R349" i="4"/>
  <c r="R310" i="4"/>
  <c r="BD90" i="2"/>
  <c r="BD91" i="2"/>
  <c r="R296" i="4"/>
  <c r="Z156" i="5" s="1"/>
  <c r="R287" i="4"/>
  <c r="R279" i="4"/>
  <c r="R112" i="4"/>
  <c r="R132" i="4"/>
  <c r="R265" i="4"/>
  <c r="R221" i="4"/>
  <c r="R263" i="4"/>
  <c r="R11" i="4"/>
  <c r="F151" i="4"/>
  <c r="F152" i="4"/>
  <c r="U98" i="8"/>
  <c r="AR69" i="5"/>
  <c r="AF17" i="2"/>
  <c r="Y42" i="4"/>
  <c r="AJ16" i="5" s="1"/>
  <c r="Y44" i="4"/>
  <c r="AJ18" i="5" s="1"/>
  <c r="Y43" i="4"/>
  <c r="AJ17" i="5" s="1"/>
  <c r="Y32" i="4"/>
  <c r="AJ129" i="5" s="1"/>
  <c r="Y8" i="4"/>
  <c r="AJ177" i="5" s="1"/>
  <c r="Y6" i="4"/>
  <c r="AJ175" i="5" s="1"/>
  <c r="Y30" i="4"/>
  <c r="AJ275" i="5" s="1"/>
  <c r="Y297" i="4"/>
  <c r="AJ272" i="5" s="1"/>
  <c r="Y405" i="4"/>
  <c r="AJ410" i="5" s="1"/>
  <c r="Y411" i="4"/>
  <c r="AJ411" i="5" s="1"/>
  <c r="Y260" i="4"/>
  <c r="AJ46" i="5" s="1"/>
  <c r="Y37" i="4"/>
  <c r="AJ62" i="5" s="1"/>
  <c r="Y206" i="4"/>
  <c r="AJ71" i="5" s="1"/>
  <c r="Y172" i="4"/>
  <c r="AJ70" i="5" s="1"/>
  <c r="Y170" i="4"/>
  <c r="AJ68" i="5" s="1"/>
  <c r="Y261" i="4"/>
  <c r="AJ96" i="5" s="1"/>
  <c r="Y295" i="4"/>
  <c r="AJ98" i="5" s="1"/>
  <c r="Y126" i="4"/>
  <c r="AJ162" i="5" s="1"/>
  <c r="Y41" i="4"/>
  <c r="AJ279" i="5" s="1"/>
  <c r="AC88" i="8"/>
  <c r="AZ59" i="5"/>
  <c r="Y60" i="4"/>
  <c r="AJ66" i="5" s="1"/>
  <c r="Y109" i="4"/>
  <c r="AJ65" i="5" s="1"/>
  <c r="Y185" i="4"/>
  <c r="AJ136" i="5" s="1"/>
  <c r="Y10" i="4"/>
  <c r="AJ254" i="5" s="1"/>
  <c r="Y200" i="4"/>
  <c r="AJ244" i="5" s="1"/>
  <c r="Y125" i="4"/>
  <c r="AJ278" i="5" s="1"/>
  <c r="Y409" i="4"/>
  <c r="AJ403" i="5" s="1"/>
  <c r="Y414" i="4"/>
  <c r="AJ415" i="5" s="1"/>
  <c r="Y393" i="4"/>
  <c r="AJ392" i="5" s="1"/>
  <c r="Y413" i="4"/>
  <c r="AJ414" i="5" s="1"/>
  <c r="H294" i="4"/>
  <c r="K144" i="5" s="1"/>
  <c r="AF169" i="8" s="1"/>
  <c r="AR169" i="8" s="1"/>
  <c r="H169" i="8" s="1"/>
  <c r="H264" i="4"/>
  <c r="K198" i="5" s="1"/>
  <c r="H226" i="4"/>
  <c r="K197" i="5" s="1"/>
  <c r="AR115" i="5"/>
  <c r="AF143" i="8"/>
  <c r="AR143" i="8" s="1"/>
  <c r="H143" i="8" s="1"/>
  <c r="H207" i="4"/>
  <c r="K72" i="5" s="1"/>
  <c r="H135" i="4"/>
  <c r="K74" i="5" s="1"/>
  <c r="H259" i="4"/>
  <c r="K297" i="5" s="1"/>
  <c r="H106" i="4"/>
  <c r="K58" i="5" s="1"/>
  <c r="H105" i="4"/>
  <c r="K57" i="5" s="1"/>
  <c r="AF6" i="2"/>
  <c r="AG6" i="2"/>
  <c r="AI6" i="2"/>
  <c r="AR97" i="5"/>
  <c r="AF126" i="8"/>
  <c r="AR126" i="8" s="1"/>
  <c r="H126" i="8" s="1"/>
  <c r="S213" i="4"/>
  <c r="AA24" i="5" s="1"/>
  <c r="S215" i="4"/>
  <c r="AA26" i="5" s="1"/>
  <c r="S214" i="4"/>
  <c r="AA25" i="5" s="1"/>
  <c r="S92" i="4"/>
  <c r="AA111" i="5" s="1"/>
  <c r="S93" i="4"/>
  <c r="AA112" i="5" s="1"/>
  <c r="S143" i="4"/>
  <c r="AA126" i="5" s="1"/>
  <c r="S139" i="4"/>
  <c r="AA110" i="5" s="1"/>
  <c r="S65" i="4"/>
  <c r="AA148" i="5" s="1"/>
  <c r="S227" i="4"/>
  <c r="AA203" i="5" s="1"/>
  <c r="S145" i="4"/>
  <c r="AA178" i="5" s="1"/>
  <c r="S98" i="4"/>
  <c r="AA163" i="5" s="1"/>
  <c r="S198" i="4"/>
  <c r="AA235" i="5" s="1"/>
  <c r="S100" i="4"/>
  <c r="AA238" i="5" s="1"/>
  <c r="S118" i="4"/>
  <c r="AA236" i="5" s="1"/>
  <c r="S197" i="4"/>
  <c r="AA234" i="5" s="1"/>
  <c r="Z131" i="8"/>
  <c r="AW102" i="5"/>
  <c r="S267" i="4"/>
  <c r="AA73" i="5" s="1"/>
  <c r="S97" i="4"/>
  <c r="AA130" i="5" s="1"/>
  <c r="S142" i="4"/>
  <c r="AA125" i="5" s="1"/>
  <c r="S269" i="4"/>
  <c r="AA2" i="5" s="1"/>
  <c r="Z82" i="8"/>
  <c r="AW53" i="5"/>
  <c r="S4" i="4"/>
  <c r="S61" i="4"/>
  <c r="AA262" i="5" s="1"/>
  <c r="S102" i="4"/>
  <c r="AA266" i="5" s="1"/>
  <c r="BE84" i="2"/>
  <c r="BE85" i="2"/>
  <c r="AU131" i="8"/>
  <c r="N102" i="4"/>
  <c r="T266" i="5" s="1"/>
  <c r="AZ85" i="2"/>
  <c r="AZ84" i="2"/>
  <c r="J2" i="4"/>
  <c r="J20" i="4"/>
  <c r="N187" i="5" s="1"/>
  <c r="J256" i="4"/>
  <c r="J244" i="4"/>
  <c r="J230" i="4"/>
  <c r="J250" i="4"/>
  <c r="J29" i="4"/>
  <c r="Q280" i="4"/>
  <c r="X290" i="5" s="1"/>
  <c r="Q274" i="4"/>
  <c r="X288" i="5" s="1"/>
  <c r="Q270" i="4"/>
  <c r="X291" i="5" s="1"/>
  <c r="Q257" i="4"/>
  <c r="X295" i="5" s="1"/>
  <c r="H71" i="4"/>
  <c r="K190" i="5" s="1"/>
  <c r="H73" i="4"/>
  <c r="K192" i="5" s="1"/>
  <c r="H99" i="4"/>
  <c r="K166" i="5" s="1"/>
  <c r="AF189" i="8" s="1"/>
  <c r="AR189" i="8" s="1"/>
  <c r="H189" i="8" s="1"/>
  <c r="H222" i="4"/>
  <c r="K269" i="5" s="1"/>
  <c r="AF277" i="8" s="1"/>
  <c r="AR277" i="8" s="1"/>
  <c r="H277" i="8" s="1"/>
  <c r="J224" i="4"/>
  <c r="J180" i="4"/>
  <c r="AC11" i="2"/>
  <c r="AP55" i="5"/>
  <c r="AD84" i="8"/>
  <c r="O311" i="4"/>
  <c r="U310" i="5" s="1"/>
  <c r="O324" i="4"/>
  <c r="U327" i="5" s="1"/>
  <c r="O330" i="4"/>
  <c r="U347" i="5" s="1"/>
  <c r="M305" i="4"/>
  <c r="R314" i="5" s="1"/>
  <c r="M306" i="4"/>
  <c r="R315" i="5" s="1"/>
  <c r="M323" i="4"/>
  <c r="R326" i="5" s="1"/>
  <c r="M351" i="4"/>
  <c r="R341" i="5" s="1"/>
  <c r="M350" i="4"/>
  <c r="R339" i="5" s="1"/>
  <c r="M212" i="4"/>
  <c r="R23" i="5" s="1"/>
  <c r="M147" i="4"/>
  <c r="R293" i="5" s="1"/>
  <c r="N305" i="4"/>
  <c r="T314" i="5" s="1"/>
  <c r="AI316" i="8" s="1"/>
  <c r="N306" i="4"/>
  <c r="T315" i="5" s="1"/>
  <c r="AI317" i="8" s="1"/>
  <c r="N323" i="4"/>
  <c r="T326" i="5" s="1"/>
  <c r="AI327" i="8" s="1"/>
  <c r="N345" i="4"/>
  <c r="T337" i="5" s="1"/>
  <c r="AI337" i="8" s="1"/>
  <c r="N343" i="4"/>
  <c r="T330" i="5" s="1"/>
  <c r="AI331" i="8" s="1"/>
  <c r="N351" i="4"/>
  <c r="T341" i="5" s="1"/>
  <c r="AI341" i="8" s="1"/>
  <c r="Y163" i="4"/>
  <c r="AJ239" i="5" s="1"/>
  <c r="Y164" i="4"/>
  <c r="AJ240" i="5" s="1"/>
  <c r="F238" i="4"/>
  <c r="H105" i="5" s="1"/>
  <c r="F94" i="4"/>
  <c r="F266" i="4"/>
  <c r="F196" i="4"/>
  <c r="F64" i="4"/>
  <c r="F251" i="4"/>
  <c r="F247" i="4"/>
  <c r="F202" i="4"/>
  <c r="F121" i="4"/>
  <c r="AW19" i="5"/>
  <c r="X191" i="4"/>
  <c r="AI282" i="5" s="1"/>
  <c r="AN289" i="8" s="1"/>
  <c r="X190" i="4"/>
  <c r="AI281" i="5" s="1"/>
  <c r="AN288" i="8" s="1"/>
  <c r="X129" i="4"/>
  <c r="AI283" i="5" s="1"/>
  <c r="AN290" i="8" s="1"/>
  <c r="Y318" i="4"/>
  <c r="AJ306" i="5" s="1"/>
  <c r="Y333" i="4"/>
  <c r="AJ350" i="5" s="1"/>
  <c r="Y337" i="4"/>
  <c r="AJ321" i="5" s="1"/>
  <c r="Y328" i="4"/>
  <c r="AJ344" i="5" s="1"/>
  <c r="Y327" i="4"/>
  <c r="AJ343" i="5" s="1"/>
  <c r="AB232" i="8"/>
  <c r="AY219" i="5"/>
  <c r="D274" i="4"/>
  <c r="E288" i="5" s="1"/>
  <c r="D280" i="4"/>
  <c r="E290" i="5" s="1"/>
  <c r="D270" i="4"/>
  <c r="E291" i="5" s="1"/>
  <c r="D257" i="4"/>
  <c r="E295" i="5" s="1"/>
  <c r="AO210" i="8"/>
  <c r="BA191" i="5"/>
  <c r="AP306" i="5"/>
  <c r="AD308" i="8"/>
  <c r="AP308" i="8" s="1"/>
  <c r="F308" i="8" s="1"/>
  <c r="M237" i="4"/>
  <c r="R104" i="5" s="1"/>
  <c r="M242" i="4"/>
  <c r="R146" i="5" s="1"/>
  <c r="M228" i="4"/>
  <c r="R218" i="5" s="1"/>
  <c r="AY87" i="2"/>
  <c r="AY88" i="2"/>
  <c r="E274" i="4"/>
  <c r="E258" i="4"/>
  <c r="E270" i="4"/>
  <c r="E257" i="4"/>
  <c r="E280" i="4"/>
  <c r="E96" i="4"/>
  <c r="E281" i="4"/>
  <c r="O203" i="4"/>
  <c r="U37" i="5" s="1"/>
  <c r="O225" i="4"/>
  <c r="U196" i="5" s="1"/>
  <c r="O318" i="4"/>
  <c r="U306" i="5" s="1"/>
  <c r="O326" i="4"/>
  <c r="U342" i="5" s="1"/>
  <c r="O328" i="4"/>
  <c r="U344" i="5" s="1"/>
  <c r="O327" i="4"/>
  <c r="U343" i="5" s="1"/>
  <c r="O333" i="4"/>
  <c r="U350" i="5" s="1"/>
  <c r="O337" i="4"/>
  <c r="U321" i="5" s="1"/>
  <c r="U140" i="4" a="1"/>
  <c r="U140" i="4" s="1"/>
  <c r="AD14" i="5" s="1"/>
  <c r="U135" i="4" a="1"/>
  <c r="U135" i="4" s="1"/>
  <c r="AD74" i="5" s="1"/>
  <c r="U122" i="4" a="1"/>
  <c r="U122" i="4" s="1"/>
  <c r="AD141" i="5" s="1"/>
  <c r="U188" i="4" a="1"/>
  <c r="U188" i="4" s="1"/>
  <c r="AD152" i="5" s="1"/>
  <c r="U150" i="4" a="1"/>
  <c r="U150" i="4" s="1"/>
  <c r="AD202" i="5" s="1"/>
  <c r="U149" i="4" a="1"/>
  <c r="U149" i="4" s="1"/>
  <c r="AD201" i="5" s="1"/>
  <c r="U162" i="4" a="1"/>
  <c r="U162" i="4" s="1"/>
  <c r="AD237" i="5" s="1"/>
  <c r="U227" i="4" a="1"/>
  <c r="U227" i="4" s="1"/>
  <c r="AD203" i="5" s="1"/>
  <c r="U198" i="4" a="1"/>
  <c r="U198" i="4" s="1"/>
  <c r="AD235" i="5" s="1"/>
  <c r="U151" i="4" a="1"/>
  <c r="U151" i="4" s="1"/>
  <c r="AD204" i="5" s="1"/>
  <c r="C164" i="4"/>
  <c r="C240" i="5" s="1"/>
  <c r="H282" i="4"/>
  <c r="K222" i="5" s="1"/>
  <c r="Z31" i="4"/>
  <c r="AL127" i="5" s="1"/>
  <c r="Z110" i="4"/>
  <c r="AL88" i="5" s="1"/>
  <c r="Z79" i="4"/>
  <c r="AL131" i="5" s="1"/>
  <c r="Z253" i="4"/>
  <c r="AL168" i="5" s="1"/>
  <c r="X309" i="4"/>
  <c r="AI308" i="5" s="1"/>
  <c r="AN310" i="8" s="1"/>
  <c r="AZ310" i="8" s="1"/>
  <c r="P310" i="8" s="1"/>
  <c r="X314" i="4"/>
  <c r="AI313" i="5" s="1"/>
  <c r="AN315" i="8" s="1"/>
  <c r="AZ315" i="8" s="1"/>
  <c r="P315" i="8" s="1"/>
  <c r="X307" i="4"/>
  <c r="AI317" i="5" s="1"/>
  <c r="AN319" i="8" s="1"/>
  <c r="AZ319" i="8" s="1"/>
  <c r="P319" i="8" s="1"/>
  <c r="X316" i="4"/>
  <c r="AI318" i="5" s="1"/>
  <c r="AN320" i="8" s="1"/>
  <c r="AZ320" i="8" s="1"/>
  <c r="P320" i="8" s="1"/>
  <c r="X347" i="4"/>
  <c r="AI336" i="5" s="1"/>
  <c r="AN336" i="8" s="1"/>
  <c r="AZ336" i="8" s="1"/>
  <c r="P336" i="8" s="1"/>
  <c r="X315" i="4"/>
  <c r="AI316" i="5" s="1"/>
  <c r="AN318" i="8" s="1"/>
  <c r="AZ318" i="8" s="1"/>
  <c r="P318" i="8" s="1"/>
  <c r="X339" i="4"/>
  <c r="AI319" i="5" s="1"/>
  <c r="AN321" i="8" s="1"/>
  <c r="AZ321" i="8" s="1"/>
  <c r="P321" i="8" s="1"/>
  <c r="R315" i="4"/>
  <c r="R339" i="4"/>
  <c r="R316" i="4"/>
  <c r="R314" i="4"/>
  <c r="R347" i="4"/>
  <c r="R309" i="4"/>
  <c r="R307" i="4"/>
  <c r="P164" i="4"/>
  <c r="W240" i="5" s="1"/>
  <c r="AA89" i="8"/>
  <c r="AX60" i="5"/>
  <c r="S309" i="4"/>
  <c r="AA308" i="5" s="1"/>
  <c r="K378" i="4"/>
  <c r="O378" i="5" s="1"/>
  <c r="O163" i="4"/>
  <c r="U239" i="5" s="1"/>
  <c r="D182" i="4"/>
  <c r="E11" i="5" s="1"/>
  <c r="L210" i="4"/>
  <c r="Q21" i="5" s="1"/>
  <c r="AH54" i="8" s="1"/>
  <c r="AT54" i="8" s="1"/>
  <c r="J54" i="8" s="1"/>
  <c r="M220" i="4"/>
  <c r="R9" i="5" s="1"/>
  <c r="S54" i="4"/>
  <c r="AA47" i="5" s="1"/>
  <c r="Q223" i="4"/>
  <c r="X15" i="5" s="1"/>
  <c r="P140" i="4"/>
  <c r="W14" i="5" s="1"/>
  <c r="AJ49" i="8" s="1"/>
  <c r="S10" i="4"/>
  <c r="AA254" i="5" s="1"/>
  <c r="Z181" i="4"/>
  <c r="AL10" i="5" s="1"/>
  <c r="AF69" i="2"/>
  <c r="X51" i="4"/>
  <c r="AI39" i="5" s="1"/>
  <c r="AN70" i="8" s="1"/>
  <c r="AZ70" i="8" s="1"/>
  <c r="P70" i="8" s="1"/>
  <c r="U289" i="4" a="1"/>
  <c r="U289" i="4" s="1"/>
  <c r="AD52" i="5" s="1"/>
  <c r="U105" i="4" a="1"/>
  <c r="U105" i="4" s="1"/>
  <c r="AD57" i="5" s="1"/>
  <c r="Q38" i="4"/>
  <c r="X63" i="5" s="1"/>
  <c r="U47" i="4" a="1"/>
  <c r="U47" i="4" s="1"/>
  <c r="AD33" i="5" s="1"/>
  <c r="U59" i="4" a="1"/>
  <c r="U59" i="4" s="1"/>
  <c r="AD45" i="5" s="1"/>
  <c r="D236" i="4"/>
  <c r="E95" i="5" s="1"/>
  <c r="L249" i="4"/>
  <c r="Q99" i="5" s="1"/>
  <c r="AH128" i="8" s="1"/>
  <c r="AT128" i="8" s="1"/>
  <c r="J128" i="8" s="1"/>
  <c r="U295" i="4" a="1"/>
  <c r="U295" i="4" s="1"/>
  <c r="AD98" i="5" s="1"/>
  <c r="Y293" i="4"/>
  <c r="AJ89" i="5" s="1"/>
  <c r="M284" i="4"/>
  <c r="R106" i="5" s="1"/>
  <c r="Q120" i="4"/>
  <c r="X93" i="5" s="1"/>
  <c r="D141" i="4"/>
  <c r="E123" i="5" s="1"/>
  <c r="AD9" i="8" s="1"/>
  <c r="D120" i="4"/>
  <c r="E93" i="5" s="1"/>
  <c r="U142" i="4" a="1"/>
  <c r="U142" i="4" s="1"/>
  <c r="AD125" i="5" s="1"/>
  <c r="C80" i="4"/>
  <c r="C134" i="5" s="1"/>
  <c r="D65" i="4"/>
  <c r="E148" i="5" s="1"/>
  <c r="AD12" i="8" s="1"/>
  <c r="U186" i="4" a="1"/>
  <c r="U186" i="4" s="1"/>
  <c r="AD150" i="5" s="1"/>
  <c r="U114" i="4" a="1"/>
  <c r="U114" i="4" s="1"/>
  <c r="AD138" i="5" s="1"/>
  <c r="M144" i="4"/>
  <c r="R155" i="5" s="1"/>
  <c r="L188" i="4"/>
  <c r="Q152" i="5" s="1"/>
  <c r="AH176" i="8" s="1"/>
  <c r="AT176" i="8" s="1"/>
  <c r="J176" i="8" s="1"/>
  <c r="P114" i="4"/>
  <c r="W138" i="5" s="1"/>
  <c r="AJ163" i="8" s="1"/>
  <c r="L278" i="4"/>
  <c r="Q139" i="5" s="1"/>
  <c r="AH164" i="8" s="1"/>
  <c r="AT164" i="8" s="1"/>
  <c r="J164" i="8" s="1"/>
  <c r="X296" i="4"/>
  <c r="AI156" i="5" s="1"/>
  <c r="AN180" i="8" s="1"/>
  <c r="AZ180" i="8" s="1"/>
  <c r="P180" i="8" s="1"/>
  <c r="X184" i="4"/>
  <c r="AI132" i="5" s="1"/>
  <c r="AN157" i="8" s="1"/>
  <c r="AZ157" i="8" s="1"/>
  <c r="P157" i="8" s="1"/>
  <c r="F241" i="4"/>
  <c r="H128" i="5" s="1"/>
  <c r="T143" i="4" a="1"/>
  <c r="T143" i="4" s="1"/>
  <c r="AC126" i="5" s="1"/>
  <c r="AL151" i="8" s="1"/>
  <c r="E16" i="4"/>
  <c r="F183" i="5" s="1"/>
  <c r="T187" i="4" a="1"/>
  <c r="T187" i="4" s="1"/>
  <c r="AC151" i="5" s="1"/>
  <c r="AL175" i="8" s="1"/>
  <c r="AX175" i="8" s="1"/>
  <c r="X16" i="4"/>
  <c r="AI183" i="5" s="1"/>
  <c r="AN16" i="8" s="1"/>
  <c r="AZ16" i="8" s="1"/>
  <c r="P16" i="8" s="1"/>
  <c r="S224" i="4"/>
  <c r="AA169" i="5" s="1"/>
  <c r="AX181" i="5"/>
  <c r="AA202" i="8"/>
  <c r="H144" i="4"/>
  <c r="K155" i="5" s="1"/>
  <c r="O83" i="4"/>
  <c r="U159" i="5" s="1"/>
  <c r="Z16" i="4"/>
  <c r="AL183" i="5" s="1"/>
  <c r="X255" i="4"/>
  <c r="AI195" i="5" s="1"/>
  <c r="AN214" i="8" s="1"/>
  <c r="AZ214" i="8" s="1"/>
  <c r="P214" i="8" s="1"/>
  <c r="M67" i="4"/>
  <c r="R164" i="5" s="1"/>
  <c r="C160" i="4"/>
  <c r="C216" i="5" s="1"/>
  <c r="D247" i="4"/>
  <c r="E231" i="5" s="1"/>
  <c r="C67" i="4"/>
  <c r="C164" i="5" s="1"/>
  <c r="Q148" i="4"/>
  <c r="X200" i="5" s="1"/>
  <c r="D160" i="4"/>
  <c r="E216" i="5" s="1"/>
  <c r="AD229" i="8" s="1"/>
  <c r="U100" i="4" a="1"/>
  <c r="U100" i="4" s="1"/>
  <c r="AD238" i="5" s="1"/>
  <c r="T150" i="4" a="1"/>
  <c r="T150" i="4" s="1"/>
  <c r="AC202" i="5" s="1"/>
  <c r="AL220" i="8" s="1"/>
  <c r="M128" i="4"/>
  <c r="R179" i="5" s="1"/>
  <c r="T247" i="4" a="1"/>
  <c r="T247" i="4" s="1"/>
  <c r="AC231" i="5" s="1"/>
  <c r="AL243" i="8" s="1"/>
  <c r="L201" i="4"/>
  <c r="Q249" i="5" s="1"/>
  <c r="AH259" i="8" s="1"/>
  <c r="AT259" i="8" s="1"/>
  <c r="J259" i="8" s="1"/>
  <c r="T153" i="4" a="1"/>
  <c r="T153" i="4" s="1"/>
  <c r="AC206" i="5" s="1"/>
  <c r="AL221" i="8" s="1"/>
  <c r="X258" i="4"/>
  <c r="AI296" i="5" s="1"/>
  <c r="AC80" i="2"/>
  <c r="S179" i="4"/>
  <c r="AA261" i="5" s="1"/>
  <c r="S258" i="4"/>
  <c r="AA296" i="5" s="1"/>
  <c r="F66" i="4"/>
  <c r="H277" i="5" s="1"/>
  <c r="U204" i="4" a="1"/>
  <c r="U204" i="4" s="1"/>
  <c r="AD251" i="5" s="1"/>
  <c r="U257" i="4" a="1"/>
  <c r="U257" i="4" s="1"/>
  <c r="AD295" i="5" s="1"/>
  <c r="Q287" i="4"/>
  <c r="X287" i="5" s="1"/>
  <c r="U209" i="4" a="1"/>
  <c r="U209" i="4" s="1"/>
  <c r="AD259" i="5" s="1"/>
  <c r="X66" i="4"/>
  <c r="AI277" i="5" s="1"/>
  <c r="AN285" i="8" s="1"/>
  <c r="AZ285" i="8" s="1"/>
  <c r="P285" i="8" s="1"/>
  <c r="T257" i="4" a="1"/>
  <c r="T257" i="4" s="1"/>
  <c r="AC295" i="5" s="1"/>
  <c r="AL302" i="8" s="1"/>
  <c r="T147" i="4" a="1"/>
  <c r="T147" i="4" s="1"/>
  <c r="AC293" i="5" s="1"/>
  <c r="AL300" i="8" s="1"/>
  <c r="L321" i="4"/>
  <c r="Q324" i="5" s="1"/>
  <c r="AH326" i="8" s="1"/>
  <c r="AT326" i="8" s="1"/>
  <c r="J326" i="8" s="1"/>
  <c r="T183" i="4" a="1"/>
  <c r="T183" i="4" s="1"/>
  <c r="AC271" i="5" s="1"/>
  <c r="AL279" i="8" s="1"/>
  <c r="O357" i="4"/>
  <c r="U361" i="5" s="1"/>
  <c r="I346" i="4"/>
  <c r="L340" i="5" s="1"/>
  <c r="X355" i="4"/>
  <c r="AI362" i="5" s="1"/>
  <c r="AN33" i="8" s="1"/>
  <c r="S358" i="4"/>
  <c r="AA352" i="5" s="1"/>
  <c r="O383" i="4"/>
  <c r="U383" i="5" s="1"/>
  <c r="Y367" i="4"/>
  <c r="AJ368" i="5" s="1"/>
  <c r="L415" i="4"/>
  <c r="Q409" i="5" s="1"/>
  <c r="P85" i="8"/>
  <c r="P40" i="8"/>
  <c r="Y210" i="8"/>
  <c r="AW210" i="8" s="1"/>
  <c r="AV191" i="5"/>
  <c r="AX304" i="5"/>
  <c r="AA306" i="8"/>
  <c r="E7" i="14"/>
  <c r="AX385" i="5"/>
  <c r="I311" i="4"/>
  <c r="L310" i="5" s="1"/>
  <c r="I324" i="4"/>
  <c r="L327" i="5" s="1"/>
  <c r="I330" i="4"/>
  <c r="L347" i="5" s="1"/>
  <c r="M302" i="4"/>
  <c r="R77" i="5" s="1"/>
  <c r="M174" i="4"/>
  <c r="R79" i="5" s="1"/>
  <c r="M24" i="4"/>
  <c r="R182" i="5" s="1"/>
  <c r="M14" i="4"/>
  <c r="R180" i="5" s="1"/>
  <c r="M18" i="4"/>
  <c r="R185" i="5" s="1"/>
  <c r="F119" i="4"/>
  <c r="H241" i="5" s="1"/>
  <c r="F217" i="4"/>
  <c r="F216" i="4"/>
  <c r="AI37" i="2"/>
  <c r="AG37" i="2"/>
  <c r="AF222" i="8"/>
  <c r="AR222" i="8" s="1"/>
  <c r="H222" i="8" s="1"/>
  <c r="I238" i="4"/>
  <c r="I247" i="4"/>
  <c r="I266" i="4"/>
  <c r="I64" i="4"/>
  <c r="I251" i="4"/>
  <c r="I94" i="4"/>
  <c r="I202" i="4"/>
  <c r="I121" i="4"/>
  <c r="I186" i="4"/>
  <c r="I196" i="4"/>
  <c r="J16" i="4"/>
  <c r="N183" i="5" s="1"/>
  <c r="J135" i="4"/>
  <c r="J35" i="4"/>
  <c r="J207" i="4"/>
  <c r="J113" i="4"/>
  <c r="J259" i="4"/>
  <c r="AY303" i="5"/>
  <c r="AM305" i="8"/>
  <c r="Z358" i="4"/>
  <c r="AL352" i="5" s="1"/>
  <c r="Z367" i="4"/>
  <c r="AL368" i="5" s="1"/>
  <c r="Z369" i="4"/>
  <c r="AL353" i="5" s="1"/>
  <c r="Z365" i="4"/>
  <c r="AL365" i="5" s="1"/>
  <c r="Z360" i="4"/>
  <c r="AL364" i="5" s="1"/>
  <c r="W369" i="4"/>
  <c r="AG353" i="5" s="1"/>
  <c r="W368" i="4"/>
  <c r="AG369" i="5" s="1"/>
  <c r="W356" i="4"/>
  <c r="AG366" i="5" s="1"/>
  <c r="W367" i="4"/>
  <c r="AG368" i="5" s="1"/>
  <c r="W365" i="4"/>
  <c r="AG365" i="5" s="1"/>
  <c r="W366" i="4"/>
  <c r="AG367" i="5" s="1"/>
  <c r="W358" i="4"/>
  <c r="AG352" i="5" s="1"/>
  <c r="W360" i="4"/>
  <c r="AG364" i="5" s="1"/>
  <c r="M265" i="4"/>
  <c r="R6" i="5" s="1"/>
  <c r="M221" i="4"/>
  <c r="R80" i="5" s="1"/>
  <c r="M11" i="4"/>
  <c r="R255" i="5" s="1"/>
  <c r="M263" i="4"/>
  <c r="R289" i="5" s="1"/>
  <c r="M287" i="4"/>
  <c r="R287" i="5" s="1"/>
  <c r="M279" i="4"/>
  <c r="R286" i="5" s="1"/>
  <c r="M132" i="4"/>
  <c r="R294" i="5" s="1"/>
  <c r="R114" i="4"/>
  <c r="R150" i="4"/>
  <c r="R75" i="8"/>
  <c r="Q152" i="4"/>
  <c r="X205" i="5" s="1"/>
  <c r="Q151" i="4"/>
  <c r="X204" i="5" s="1"/>
  <c r="O12" i="4"/>
  <c r="U263" i="5" s="1"/>
  <c r="O66" i="4"/>
  <c r="U277" i="5" s="1"/>
  <c r="AL81" i="2"/>
  <c r="AT107" i="5"/>
  <c r="W136" i="8"/>
  <c r="AF82" i="2"/>
  <c r="U172" i="8"/>
  <c r="AR147" i="5"/>
  <c r="F282" i="4"/>
  <c r="H222" i="5" s="1"/>
  <c r="F19" i="4"/>
  <c r="H186" i="5" s="1"/>
  <c r="F74" i="4"/>
  <c r="F407" i="4"/>
  <c r="F70" i="4"/>
  <c r="O317" i="4"/>
  <c r="U305" i="5" s="1"/>
  <c r="O329" i="4"/>
  <c r="U345" i="5" s="1"/>
  <c r="O336" i="4"/>
  <c r="U346" i="5" s="1"/>
  <c r="O319" i="4"/>
  <c r="U329" i="5" s="1"/>
  <c r="O322" i="4"/>
  <c r="U325" i="5" s="1"/>
  <c r="O334" i="4"/>
  <c r="U322" i="5" s="1"/>
  <c r="O320" i="4"/>
  <c r="U320" i="5" s="1"/>
  <c r="O348" i="4"/>
  <c r="U351" i="5" s="1"/>
  <c r="R122" i="4"/>
  <c r="R194" i="4"/>
  <c r="R245" i="4"/>
  <c r="R246" i="4"/>
  <c r="R123" i="4"/>
  <c r="R131" i="4"/>
  <c r="E69" i="4"/>
  <c r="E410" i="4"/>
  <c r="E115" i="4"/>
  <c r="E116" i="4"/>
  <c r="E392" i="4"/>
  <c r="L19" i="4"/>
  <c r="Q186" i="5" s="1"/>
  <c r="AH206" i="8" s="1"/>
  <c r="AT206" i="8" s="1"/>
  <c r="J206" i="8" s="1"/>
  <c r="L74" i="4"/>
  <c r="Q208" i="5" s="1"/>
  <c r="AH223" i="8" s="1"/>
  <c r="AT223" i="8" s="1"/>
  <c r="J223" i="8" s="1"/>
  <c r="L407" i="4"/>
  <c r="Q395" i="5" s="1"/>
  <c r="O90" i="5"/>
  <c r="Y311" i="4"/>
  <c r="AJ310" i="5" s="1"/>
  <c r="Y324" i="4"/>
  <c r="AJ327" i="5" s="1"/>
  <c r="E350" i="4"/>
  <c r="E343" i="4"/>
  <c r="E344" i="4"/>
  <c r="E351" i="4"/>
  <c r="E305" i="4"/>
  <c r="E345" i="4"/>
  <c r="E306" i="4"/>
  <c r="E323" i="4"/>
  <c r="O23" i="4"/>
  <c r="U13" i="5" s="1"/>
  <c r="O53" i="4"/>
  <c r="U43" i="5" s="1"/>
  <c r="O298" i="4"/>
  <c r="U124" i="5" s="1"/>
  <c r="S163" i="4"/>
  <c r="AA239" i="5" s="1"/>
  <c r="S164" i="4"/>
  <c r="AA240" i="5" s="1"/>
  <c r="AW240" i="5" s="1"/>
  <c r="Y305" i="4"/>
  <c r="AJ314" i="5" s="1"/>
  <c r="Y306" i="4"/>
  <c r="AJ315" i="5" s="1"/>
  <c r="Y351" i="4"/>
  <c r="AJ341" i="5" s="1"/>
  <c r="Y350" i="4"/>
  <c r="AJ339" i="5" s="1"/>
  <c r="Y345" i="4"/>
  <c r="AJ337" i="5" s="1"/>
  <c r="AC23" i="2"/>
  <c r="AP298" i="5"/>
  <c r="AD304" i="8"/>
  <c r="AP304" i="8" s="1"/>
  <c r="J367" i="4"/>
  <c r="N368" i="5" s="1"/>
  <c r="AG366" i="8" s="1"/>
  <c r="J358" i="4"/>
  <c r="N352" i="5" s="1"/>
  <c r="AG351" i="8" s="1"/>
  <c r="AS351" i="8" s="1"/>
  <c r="J368" i="4"/>
  <c r="N369" i="5" s="1"/>
  <c r="AG367" i="8" s="1"/>
  <c r="J366" i="4"/>
  <c r="N367" i="5" s="1"/>
  <c r="AG365" i="8" s="1"/>
  <c r="J370" i="4"/>
  <c r="N354" i="5" s="1"/>
  <c r="AG353" i="8" s="1"/>
  <c r="J360" i="4"/>
  <c r="N364" i="5" s="1"/>
  <c r="AG362" i="8" s="1"/>
  <c r="J369" i="4"/>
  <c r="N353" i="5" s="1"/>
  <c r="AG352" i="8" s="1"/>
  <c r="J365" i="4"/>
  <c r="N365" i="5" s="1"/>
  <c r="AG363" i="8" s="1"/>
  <c r="J356" i="4"/>
  <c r="N366" i="5" s="1"/>
  <c r="AG364" i="8" s="1"/>
  <c r="AR385" i="5"/>
  <c r="AF74" i="2"/>
  <c r="AF49" i="2"/>
  <c r="AR307" i="5"/>
  <c r="U309" i="8"/>
  <c r="AB205" i="8"/>
  <c r="AY185" i="5"/>
  <c r="I219" i="4"/>
  <c r="L265" i="5" s="1"/>
  <c r="I176" i="4"/>
  <c r="I209" i="4"/>
  <c r="I127" i="4"/>
  <c r="I181" i="4"/>
  <c r="I182" i="4"/>
  <c r="I120" i="4"/>
  <c r="I236" i="4"/>
  <c r="I240" i="4"/>
  <c r="I184" i="4"/>
  <c r="I137" i="4"/>
  <c r="H246" i="4"/>
  <c r="K230" i="5" s="1"/>
  <c r="H122" i="4"/>
  <c r="K141" i="5" s="1"/>
  <c r="H245" i="4"/>
  <c r="K229" i="5" s="1"/>
  <c r="AZ221" i="8"/>
  <c r="BA303" i="5"/>
  <c r="AO305" i="8"/>
  <c r="H212" i="4"/>
  <c r="K23" i="5" s="1"/>
  <c r="H210" i="4"/>
  <c r="H148" i="4"/>
  <c r="R233" i="4"/>
  <c r="R272" i="4"/>
  <c r="R205" i="4"/>
  <c r="R234" i="4"/>
  <c r="AT90" i="2"/>
  <c r="AT91" i="2"/>
  <c r="I41" i="4"/>
  <c r="L279" i="5" s="1"/>
  <c r="I170" i="4"/>
  <c r="I37" i="4"/>
  <c r="I199" i="4"/>
  <c r="I260" i="4"/>
  <c r="I295" i="4"/>
  <c r="I206" i="4"/>
  <c r="I172" i="4"/>
  <c r="I126" i="4"/>
  <c r="I261" i="4"/>
  <c r="I39" i="4"/>
  <c r="F8" i="4"/>
  <c r="F30" i="4"/>
  <c r="F6" i="4"/>
  <c r="F42" i="4"/>
  <c r="F33" i="4"/>
  <c r="F43" i="4"/>
  <c r="F44" i="4"/>
  <c r="L4" i="4"/>
  <c r="Q174" i="5" s="1"/>
  <c r="AH196" i="8" s="1"/>
  <c r="AT196" i="8" s="1"/>
  <c r="J196" i="8" s="1"/>
  <c r="L61" i="4"/>
  <c r="Q262" i="5" s="1"/>
  <c r="AH271" i="8" s="1"/>
  <c r="AT271" i="8" s="1"/>
  <c r="J271" i="8" s="1"/>
  <c r="AX85" i="2"/>
  <c r="AX84" i="2"/>
  <c r="D303" i="4"/>
  <c r="E303" i="5" s="1"/>
  <c r="D331" i="4"/>
  <c r="E348" i="5" s="1"/>
  <c r="P152" i="4"/>
  <c r="W205" i="5" s="1"/>
  <c r="AJ21" i="8" s="1"/>
  <c r="P151" i="4"/>
  <c r="W204" i="5" s="1"/>
  <c r="AJ20" i="8" s="1"/>
  <c r="AV20" i="8" s="1"/>
  <c r="L20" i="8" s="1"/>
  <c r="E57" i="4"/>
  <c r="E105" i="4"/>
  <c r="E106" i="4"/>
  <c r="L368" i="4"/>
  <c r="Q369" i="5" s="1"/>
  <c r="AH367" i="8" s="1"/>
  <c r="L356" i="4"/>
  <c r="Q366" i="5" s="1"/>
  <c r="AH364" i="8" s="1"/>
  <c r="L369" i="4"/>
  <c r="Q353" i="5" s="1"/>
  <c r="AH352" i="8" s="1"/>
  <c r="L367" i="4"/>
  <c r="Q368" i="5" s="1"/>
  <c r="AH366" i="8" s="1"/>
  <c r="L370" i="4"/>
  <c r="Q354" i="5" s="1"/>
  <c r="AH353" i="8" s="1"/>
  <c r="L366" i="4"/>
  <c r="Q367" i="5" s="1"/>
  <c r="AH365" i="8" s="1"/>
  <c r="AY90" i="5"/>
  <c r="AB119" i="8"/>
  <c r="AZ119" i="8" s="1"/>
  <c r="I370" i="4"/>
  <c r="L354" i="5" s="1"/>
  <c r="I360" i="4"/>
  <c r="L364" i="5" s="1"/>
  <c r="I366" i="4"/>
  <c r="L367" i="5" s="1"/>
  <c r="I365" i="4"/>
  <c r="L365" i="5" s="1"/>
  <c r="I356" i="4"/>
  <c r="L366" i="5" s="1"/>
  <c r="I369" i="4"/>
  <c r="L353" i="5" s="1"/>
  <c r="I367" i="4"/>
  <c r="L368" i="5" s="1"/>
  <c r="I368" i="4"/>
  <c r="L369" i="5" s="1"/>
  <c r="R238" i="4"/>
  <c r="R266" i="4"/>
  <c r="R202" i="4"/>
  <c r="R251" i="4"/>
  <c r="R186" i="4"/>
  <c r="R121" i="4"/>
  <c r="R94" i="4"/>
  <c r="R247" i="4"/>
  <c r="R196" i="4"/>
  <c r="R64" i="4"/>
  <c r="Y294" i="4"/>
  <c r="AJ144" i="5" s="1"/>
  <c r="Y254" i="4"/>
  <c r="AJ194" i="5" s="1"/>
  <c r="Y226" i="4"/>
  <c r="AJ197" i="5" s="1"/>
  <c r="Y301" i="4"/>
  <c r="AJ189" i="5" s="1"/>
  <c r="Y264" i="4"/>
  <c r="AJ198" i="5" s="1"/>
  <c r="AD104" i="8"/>
  <c r="AP75" i="5"/>
  <c r="AZ206" i="5"/>
  <c r="AC221" i="8"/>
  <c r="X297" i="4"/>
  <c r="AI272" i="5" s="1"/>
  <c r="AN280" i="8" s="1"/>
  <c r="AZ280" i="8" s="1"/>
  <c r="X411" i="4"/>
  <c r="AI411" i="5" s="1"/>
  <c r="AN402" i="8" s="1"/>
  <c r="AZ402" i="8" s="1"/>
  <c r="P402" i="8" s="1"/>
  <c r="X405" i="4"/>
  <c r="AI410" i="5" s="1"/>
  <c r="AN401" i="8" s="1"/>
  <c r="AZ401" i="8" s="1"/>
  <c r="P401" i="8" s="1"/>
  <c r="L60" i="4"/>
  <c r="Q66" i="5" s="1"/>
  <c r="AH95" i="8" s="1"/>
  <c r="AT95" i="8" s="1"/>
  <c r="J95" i="8" s="1"/>
  <c r="L187" i="4"/>
  <c r="Q151" i="5" s="1"/>
  <c r="AH175" i="8" s="1"/>
  <c r="AT175" i="8" s="1"/>
  <c r="J175" i="8" s="1"/>
  <c r="L185" i="4"/>
  <c r="Q136" i="5" s="1"/>
  <c r="AH161" i="8" s="1"/>
  <c r="AT161" i="8" s="1"/>
  <c r="J161" i="8" s="1"/>
  <c r="L125" i="4"/>
  <c r="Q278" i="5" s="1"/>
  <c r="AH286" i="8" s="1"/>
  <c r="AT286" i="8" s="1"/>
  <c r="J286" i="8" s="1"/>
  <c r="L218" i="4"/>
  <c r="Q242" i="5" s="1"/>
  <c r="AH253" i="8" s="1"/>
  <c r="AT253" i="8" s="1"/>
  <c r="J253" i="8" s="1"/>
  <c r="L401" i="4"/>
  <c r="Q408" i="5" s="1"/>
  <c r="L393" i="4"/>
  <c r="Q392" i="5" s="1"/>
  <c r="L409" i="4"/>
  <c r="Q403" i="5" s="1"/>
  <c r="L398" i="4"/>
  <c r="Q405" i="5" s="1"/>
  <c r="L413" i="4"/>
  <c r="Q414" i="5" s="1"/>
  <c r="L414" i="4"/>
  <c r="Q415" i="5" s="1"/>
  <c r="R410" i="4"/>
  <c r="Z404" i="5" s="1"/>
  <c r="R392" i="4"/>
  <c r="Z413" i="5" s="1"/>
  <c r="R69" i="4"/>
  <c r="R115" i="4"/>
  <c r="R116" i="4"/>
  <c r="R275" i="4"/>
  <c r="R273" i="4"/>
  <c r="R62" i="4"/>
  <c r="R75" i="4"/>
  <c r="R68" i="4"/>
  <c r="R289" i="4"/>
  <c r="X4" i="4"/>
  <c r="AI174" i="5" s="1"/>
  <c r="AN196" i="8" s="1"/>
  <c r="AZ196" i="8" s="1"/>
  <c r="P196" i="8" s="1"/>
  <c r="X61" i="4"/>
  <c r="AI262" i="5" s="1"/>
  <c r="AN271" i="8" s="1"/>
  <c r="BJ84" i="2"/>
  <c r="BJ85" i="2"/>
  <c r="E229" i="4"/>
  <c r="F28" i="5" s="1"/>
  <c r="E250" i="4"/>
  <c r="F103" i="5" s="1"/>
  <c r="E20" i="4"/>
  <c r="F187" i="5" s="1"/>
  <c r="E29" i="4"/>
  <c r="F268" i="5" s="1"/>
  <c r="E256" i="4"/>
  <c r="F213" i="5" s="1"/>
  <c r="E244" i="4"/>
  <c r="F219" i="5" s="1"/>
  <c r="E230" i="4"/>
  <c r="F220" i="5" s="1"/>
  <c r="E2" i="4"/>
  <c r="Y56" i="8"/>
  <c r="Q234" i="4"/>
  <c r="X30" i="5" s="1"/>
  <c r="Q272" i="4"/>
  <c r="X50" i="5" s="1"/>
  <c r="Q205" i="4"/>
  <c r="X53" i="5" s="1"/>
  <c r="V317" i="4"/>
  <c r="AF305" i="5" s="1"/>
  <c r="V319" i="4"/>
  <c r="AF329" i="5" s="1"/>
  <c r="V335" i="4"/>
  <c r="AF323" i="5" s="1"/>
  <c r="V348" i="4"/>
  <c r="AF351" i="5" s="1"/>
  <c r="V342" i="4"/>
  <c r="AF334" i="5" s="1"/>
  <c r="V336" i="4"/>
  <c r="AF346" i="5" s="1"/>
  <c r="V341" i="4"/>
  <c r="AF333" i="5" s="1"/>
  <c r="V329" i="4"/>
  <c r="AF345" i="5" s="1"/>
  <c r="V334" i="4"/>
  <c r="AF322" i="5" s="1"/>
  <c r="V321" i="4"/>
  <c r="AF324" i="5" s="1"/>
  <c r="Z196" i="4"/>
  <c r="AL8" i="5" s="1"/>
  <c r="Z266" i="4"/>
  <c r="AL7" i="5" s="1"/>
  <c r="Z202" i="4"/>
  <c r="AL36" i="5" s="1"/>
  <c r="Z121" i="4"/>
  <c r="AL113" i="5" s="1"/>
  <c r="Z238" i="4"/>
  <c r="AL105" i="5" s="1"/>
  <c r="Z186" i="4"/>
  <c r="AL150" i="5" s="1"/>
  <c r="Z247" i="4"/>
  <c r="AL231" i="5" s="1"/>
  <c r="Z251" i="4"/>
  <c r="AL280" i="5" s="1"/>
  <c r="I150" i="4"/>
  <c r="L202" i="5" s="1"/>
  <c r="I114" i="4"/>
  <c r="L220" i="4"/>
  <c r="Q9" i="5" s="1"/>
  <c r="AH45" i="8" s="1"/>
  <c r="AT45" i="8" s="1"/>
  <c r="J45" i="8" s="1"/>
  <c r="L208" i="4"/>
  <c r="Q75" i="5" s="1"/>
  <c r="AH104" i="8" s="1"/>
  <c r="AT104" i="8" s="1"/>
  <c r="J104" i="8" s="1"/>
  <c r="J166" i="4"/>
  <c r="J124" i="4"/>
  <c r="J78" i="4"/>
  <c r="J54" i="4"/>
  <c r="J52" i="4"/>
  <c r="J165" i="4"/>
  <c r="J51" i="4"/>
  <c r="J26" i="4"/>
  <c r="J58" i="4"/>
  <c r="J167" i="4"/>
  <c r="J168" i="4"/>
  <c r="J36" i="4"/>
  <c r="J3" i="4"/>
  <c r="J50" i="4"/>
  <c r="L294" i="4"/>
  <c r="Q144" i="5" s="1"/>
  <c r="AH169" i="8" s="1"/>
  <c r="AT169" i="8" s="1"/>
  <c r="J169" i="8" s="1"/>
  <c r="L254" i="4"/>
  <c r="Q194" i="5" s="1"/>
  <c r="AH213" i="8" s="1"/>
  <c r="AT213" i="8" s="1"/>
  <c r="J213" i="8" s="1"/>
  <c r="L226" i="4"/>
  <c r="Q197" i="5" s="1"/>
  <c r="AH216" i="8" s="1"/>
  <c r="L301" i="4"/>
  <c r="Q189" i="5" s="1"/>
  <c r="AH209" i="8" s="1"/>
  <c r="AT209" i="8" s="1"/>
  <c r="J209" i="8" s="1"/>
  <c r="L264" i="4"/>
  <c r="Q198" i="5" s="1"/>
  <c r="AH217" i="8" s="1"/>
  <c r="AT217" i="8" s="1"/>
  <c r="J217" i="8" s="1"/>
  <c r="L207" i="4"/>
  <c r="Q72" i="5" s="1"/>
  <c r="AH101" i="8" s="1"/>
  <c r="AT101" i="8" s="1"/>
  <c r="J101" i="8" s="1"/>
  <c r="L135" i="4"/>
  <c r="Q74" i="5" s="1"/>
  <c r="AH103" i="8" s="1"/>
  <c r="AT103" i="8" s="1"/>
  <c r="J103" i="8" s="1"/>
  <c r="L113" i="4"/>
  <c r="Q135" i="5" s="1"/>
  <c r="AH160" i="8" s="1"/>
  <c r="AT160" i="8" s="1"/>
  <c r="J160" i="8" s="1"/>
  <c r="L35" i="4"/>
  <c r="Q173" i="5" s="1"/>
  <c r="AH195" i="8" s="1"/>
  <c r="AT195" i="8" s="1"/>
  <c r="J195" i="8" s="1"/>
  <c r="L17" i="4"/>
  <c r="Q184" i="5" s="1"/>
  <c r="AH204" i="8" s="1"/>
  <c r="AT204" i="8" s="1"/>
  <c r="J204" i="8" s="1"/>
  <c r="L16" i="4"/>
  <c r="Q183" i="5" s="1"/>
  <c r="AH16" i="8" s="1"/>
  <c r="AT16" i="8" s="1"/>
  <c r="J16" i="8" s="1"/>
  <c r="L408" i="4"/>
  <c r="Q401" i="5" s="1"/>
  <c r="L397" i="4"/>
  <c r="Q399" i="5" s="1"/>
  <c r="L406" i="4"/>
  <c r="Q416" i="5" s="1"/>
  <c r="H266" i="4"/>
  <c r="K7" i="5" s="1"/>
  <c r="H196" i="4"/>
  <c r="K8" i="5" s="1"/>
  <c r="H186" i="4"/>
  <c r="K150" i="5" s="1"/>
  <c r="H121" i="4"/>
  <c r="K113" i="5" s="1"/>
  <c r="H251" i="4"/>
  <c r="K280" i="5" s="1"/>
  <c r="Q93" i="4"/>
  <c r="X112" i="5" s="1"/>
  <c r="Q143" i="4"/>
  <c r="X126" i="5" s="1"/>
  <c r="Q139" i="4"/>
  <c r="X110" i="5" s="1"/>
  <c r="Q92" i="4"/>
  <c r="X111" i="5" s="1"/>
  <c r="Q65" i="4"/>
  <c r="X148" i="5" s="1"/>
  <c r="Q145" i="4"/>
  <c r="X178" i="5" s="1"/>
  <c r="Q98" i="4"/>
  <c r="X163" i="5" s="1"/>
  <c r="Q189" i="4"/>
  <c r="X167" i="5" s="1"/>
  <c r="Q100" i="4"/>
  <c r="X238" i="5" s="1"/>
  <c r="Q227" i="4"/>
  <c r="X203" i="5" s="1"/>
  <c r="Q118" i="4"/>
  <c r="X236" i="5" s="1"/>
  <c r="Q197" i="4"/>
  <c r="X234" i="5" s="1"/>
  <c r="Q198" i="4"/>
  <c r="X235" i="5" s="1"/>
  <c r="Q415" i="4"/>
  <c r="X409" i="5" s="1"/>
  <c r="F235" i="4"/>
  <c r="F101" i="4"/>
  <c r="F175" i="4"/>
  <c r="F177" i="4"/>
  <c r="F25" i="4"/>
  <c r="F136" i="4"/>
  <c r="F178" i="4"/>
  <c r="F138" i="4"/>
  <c r="F76" i="4"/>
  <c r="F275" i="4"/>
  <c r="F62" i="4"/>
  <c r="F75" i="4"/>
  <c r="F273" i="4"/>
  <c r="F289" i="4"/>
  <c r="AP170" i="5"/>
  <c r="AD193" i="8"/>
  <c r="AP193" i="8" s="1"/>
  <c r="F193" i="8" s="1"/>
  <c r="D207" i="4"/>
  <c r="E72" i="5" s="1"/>
  <c r="D135" i="4"/>
  <c r="E74" i="5" s="1"/>
  <c r="D35" i="4"/>
  <c r="E173" i="5" s="1"/>
  <c r="AD195" i="8" s="1"/>
  <c r="D130" i="4"/>
  <c r="E5" i="5" s="1"/>
  <c r="AD2" i="8" s="1"/>
  <c r="D22" i="4"/>
  <c r="E12" i="5" s="1"/>
  <c r="AD3" i="8" s="1"/>
  <c r="D299" i="4"/>
  <c r="E154" i="5" s="1"/>
  <c r="F312" i="4"/>
  <c r="F349" i="4"/>
  <c r="F310" i="4"/>
  <c r="F313" i="4"/>
  <c r="AR91" i="2"/>
  <c r="AR90" i="2"/>
  <c r="F279" i="4"/>
  <c r="F287" i="4"/>
  <c r="F265" i="4"/>
  <c r="F221" i="4"/>
  <c r="F296" i="4"/>
  <c r="F263" i="4"/>
  <c r="F11" i="4"/>
  <c r="F132" i="4"/>
  <c r="F112" i="4"/>
  <c r="Y221" i="8"/>
  <c r="AW221" i="8" s="1"/>
  <c r="AV206" i="5"/>
  <c r="O172" i="4"/>
  <c r="U70" i="5" s="1"/>
  <c r="O199" i="4"/>
  <c r="U243" i="5" s="1"/>
  <c r="O41" i="4"/>
  <c r="U279" i="5" s="1"/>
  <c r="L3" i="4"/>
  <c r="Q118" i="5" s="1"/>
  <c r="AH146" i="8" s="1"/>
  <c r="AT146" i="8" s="1"/>
  <c r="J146" i="8" s="1"/>
  <c r="L58" i="4"/>
  <c r="Q41" i="5" s="1"/>
  <c r="AH72" i="8" s="1"/>
  <c r="AT72" i="8" s="1"/>
  <c r="J72" i="8" s="1"/>
  <c r="L36" i="4"/>
  <c r="Q42" i="5" s="1"/>
  <c r="AH73" i="8" s="1"/>
  <c r="AT73" i="8" s="1"/>
  <c r="J73" i="8" s="1"/>
  <c r="L50" i="4"/>
  <c r="Q38" i="5" s="1"/>
  <c r="AH69" i="8" s="1"/>
  <c r="AT69" i="8" s="1"/>
  <c r="J69" i="8" s="1"/>
  <c r="L52" i="4"/>
  <c r="Q40" i="5" s="1"/>
  <c r="AH71" i="8" s="1"/>
  <c r="AT71" i="8" s="1"/>
  <c r="J71" i="8" s="1"/>
  <c r="L26" i="4"/>
  <c r="Q49" i="5" s="1"/>
  <c r="AH7" i="8" s="1"/>
  <c r="AT7" i="8" s="1"/>
  <c r="J7" i="8" s="1"/>
  <c r="L54" i="4"/>
  <c r="Q47" i="5" s="1"/>
  <c r="AH78" i="8" s="1"/>
  <c r="AT78" i="8" s="1"/>
  <c r="J78" i="8" s="1"/>
  <c r="L166" i="4"/>
  <c r="Q246" i="5" s="1"/>
  <c r="AH257" i="8" s="1"/>
  <c r="AT257" i="8" s="1"/>
  <c r="J257" i="8" s="1"/>
  <c r="L124" i="4"/>
  <c r="Q276" i="5" s="1"/>
  <c r="AH284" i="8" s="1"/>
  <c r="AT284" i="8" s="1"/>
  <c r="J284" i="8" s="1"/>
  <c r="L168" i="4"/>
  <c r="Q248" i="5" s="1"/>
  <c r="AH25" i="8" s="1"/>
  <c r="AT25" i="8" s="1"/>
  <c r="J25" i="8" s="1"/>
  <c r="M42" i="4"/>
  <c r="R16" i="5" s="1"/>
  <c r="M43" i="4"/>
  <c r="R17" i="5" s="1"/>
  <c r="M8" i="4"/>
  <c r="R177" i="5" s="1"/>
  <c r="M30" i="4"/>
  <c r="R275" i="5" s="1"/>
  <c r="M32" i="4"/>
  <c r="M33" i="4"/>
  <c r="M6" i="4"/>
  <c r="M297" i="4"/>
  <c r="R272" i="5" s="1"/>
  <c r="M405" i="4"/>
  <c r="M411" i="4"/>
  <c r="M260" i="4"/>
  <c r="R46" i="5" s="1"/>
  <c r="M39" i="4"/>
  <c r="R64" i="5" s="1"/>
  <c r="M172" i="4"/>
  <c r="R70" i="5" s="1"/>
  <c r="M170" i="4"/>
  <c r="R68" i="5" s="1"/>
  <c r="M261" i="4"/>
  <c r="R96" i="5" s="1"/>
  <c r="M126" i="4"/>
  <c r="R162" i="5" s="1"/>
  <c r="M199" i="4"/>
  <c r="R243" i="5" s="1"/>
  <c r="M41" i="4"/>
  <c r="R279" i="5" s="1"/>
  <c r="W88" i="8"/>
  <c r="AT59" i="5"/>
  <c r="AL10" i="2"/>
  <c r="M109" i="4"/>
  <c r="R65" i="5" s="1"/>
  <c r="M60" i="4"/>
  <c r="R66" i="5" s="1"/>
  <c r="M38" i="4"/>
  <c r="R63" i="5" s="1"/>
  <c r="M187" i="4"/>
  <c r="R151" i="5" s="1"/>
  <c r="M185" i="4"/>
  <c r="R136" i="5" s="1"/>
  <c r="M200" i="4"/>
  <c r="R244" i="5" s="1"/>
  <c r="M218" i="4"/>
  <c r="R242" i="5" s="1"/>
  <c r="M125" i="4"/>
  <c r="R278" i="5" s="1"/>
  <c r="M398" i="4"/>
  <c r="M413" i="4"/>
  <c r="M414" i="4"/>
  <c r="M409" i="4"/>
  <c r="M393" i="4"/>
  <c r="M401" i="4"/>
  <c r="AS85" i="2"/>
  <c r="AS84" i="2"/>
  <c r="Z291" i="4"/>
  <c r="AL101" i="5" s="1"/>
  <c r="Z268" i="4"/>
  <c r="AL100" i="5" s="1"/>
  <c r="Z292" i="4"/>
  <c r="AL143" i="5" s="1"/>
  <c r="Z252" i="4"/>
  <c r="AL157" i="5" s="1"/>
  <c r="Z300" i="4"/>
  <c r="AL153" i="5" s="1"/>
  <c r="Z220" i="4"/>
  <c r="AL9" i="5" s="1"/>
  <c r="Z208" i="4"/>
  <c r="AL75" i="5" s="1"/>
  <c r="AO85" i="8"/>
  <c r="BA56" i="5"/>
  <c r="Z58" i="4"/>
  <c r="AL41" i="5" s="1"/>
  <c r="Z36" i="4"/>
  <c r="AL42" i="5" s="1"/>
  <c r="Z50" i="4"/>
  <c r="AL38" i="5" s="1"/>
  <c r="Z52" i="4"/>
  <c r="AL40" i="5" s="1"/>
  <c r="Z26" i="4"/>
  <c r="AL49" i="5" s="1"/>
  <c r="Z54" i="4"/>
  <c r="AL47" i="5" s="1"/>
  <c r="Z3" i="4"/>
  <c r="AL118" i="5" s="1"/>
  <c r="Z78" i="4"/>
  <c r="AL121" i="5" s="1"/>
  <c r="Z166" i="4"/>
  <c r="AL246" i="5" s="1"/>
  <c r="Z168" i="4"/>
  <c r="AL248" i="5" s="1"/>
  <c r="Z124" i="4"/>
  <c r="AL276" i="5" s="1"/>
  <c r="BA147" i="5"/>
  <c r="AO172" i="8"/>
  <c r="BA172" i="8" s="1"/>
  <c r="X303" i="4"/>
  <c r="AI303" i="5" s="1"/>
  <c r="AN305" i="8" s="1"/>
  <c r="AZ305" i="8" s="1"/>
  <c r="P305" i="8" s="1"/>
  <c r="X331" i="4"/>
  <c r="AI348" i="5" s="1"/>
  <c r="AN348" i="8" s="1"/>
  <c r="AZ348" i="8" s="1"/>
  <c r="P348" i="8" s="1"/>
  <c r="AL49" i="2"/>
  <c r="AT307" i="5"/>
  <c r="W309" i="8"/>
  <c r="AU309" i="8" s="1"/>
  <c r="AP299" i="5"/>
  <c r="AC59" i="2"/>
  <c r="E191" i="4"/>
  <c r="E190" i="4"/>
  <c r="E129" i="4"/>
  <c r="I99" i="4"/>
  <c r="L166" i="5" s="1"/>
  <c r="I222" i="4"/>
  <c r="L269" i="5" s="1"/>
  <c r="I71" i="4"/>
  <c r="I73" i="4"/>
  <c r="X211" i="4"/>
  <c r="AI22" i="5" s="1"/>
  <c r="AN55" i="8" s="1"/>
  <c r="AZ55" i="8" s="1"/>
  <c r="P55" i="8" s="1"/>
  <c r="X213" i="4"/>
  <c r="AI24" i="5" s="1"/>
  <c r="AN57" i="8" s="1"/>
  <c r="AZ57" i="8" s="1"/>
  <c r="P57" i="8" s="1"/>
  <c r="X214" i="4"/>
  <c r="AI25" i="5" s="1"/>
  <c r="AN58" i="8" s="1"/>
  <c r="AZ58" i="8" s="1"/>
  <c r="P58" i="8" s="1"/>
  <c r="X215" i="4"/>
  <c r="AI26" i="5" s="1"/>
  <c r="AN59" i="8" s="1"/>
  <c r="AZ59" i="8" s="1"/>
  <c r="P59" i="8" s="1"/>
  <c r="F190" i="4"/>
  <c r="F191" i="4"/>
  <c r="F129" i="4"/>
  <c r="J99" i="4"/>
  <c r="N166" i="5" s="1"/>
  <c r="J222" i="4"/>
  <c r="N269" i="5" s="1"/>
  <c r="J73" i="4"/>
  <c r="J71" i="4"/>
  <c r="E84" i="4"/>
  <c r="F160" i="5" s="1"/>
  <c r="E82" i="4"/>
  <c r="F158" i="5" s="1"/>
  <c r="E193" i="4"/>
  <c r="F210" i="5" s="1"/>
  <c r="E157" i="4"/>
  <c r="F212" i="5" s="1"/>
  <c r="E288" i="4"/>
  <c r="F214" i="5" s="1"/>
  <c r="E155" i="4"/>
  <c r="F209" i="5" s="1"/>
  <c r="E156" i="4"/>
  <c r="F211" i="5" s="1"/>
  <c r="E158" i="4"/>
  <c r="AC210" i="8"/>
  <c r="AZ191" i="5"/>
  <c r="S284" i="4"/>
  <c r="AA106" i="5" s="1"/>
  <c r="S286" i="4"/>
  <c r="AA108" i="5" s="1"/>
  <c r="S285" i="4"/>
  <c r="AA107" i="5" s="1"/>
  <c r="S241" i="4"/>
  <c r="AA128" i="5" s="1"/>
  <c r="S290" i="4"/>
  <c r="AA140" i="5" s="1"/>
  <c r="S63" i="4"/>
  <c r="AA270" i="5" s="1"/>
  <c r="Y229" i="4"/>
  <c r="AJ28" i="5" s="1"/>
  <c r="Y250" i="4"/>
  <c r="AJ103" i="5" s="1"/>
  <c r="Y2" i="4"/>
  <c r="Y20" i="4"/>
  <c r="AJ187" i="5" s="1"/>
  <c r="Y256" i="4"/>
  <c r="AJ213" i="5" s="1"/>
  <c r="Y230" i="4"/>
  <c r="AJ220" i="5" s="1"/>
  <c r="Y29" i="4"/>
  <c r="AJ268" i="5" s="1"/>
  <c r="Y244" i="4"/>
  <c r="Z381" i="8"/>
  <c r="AX381" i="8" s="1"/>
  <c r="AW384" i="5"/>
  <c r="AG53" i="2"/>
  <c r="AI53" i="2"/>
  <c r="AB295" i="8"/>
  <c r="AY288" i="5"/>
  <c r="AB239" i="8"/>
  <c r="AY226" i="5"/>
  <c r="C203" i="4"/>
  <c r="C37" i="5" s="1"/>
  <c r="R68" i="8" s="1"/>
  <c r="C239" i="4"/>
  <c r="C114" i="5" s="1"/>
  <c r="C225" i="4"/>
  <c r="C196" i="5" s="1"/>
  <c r="C285" i="4"/>
  <c r="C107" i="5" s="1"/>
  <c r="R136" i="8" s="1"/>
  <c r="C241" i="4"/>
  <c r="C128" i="5" s="1"/>
  <c r="C77" i="4"/>
  <c r="C119" i="5" s="1"/>
  <c r="C286" i="4"/>
  <c r="C108" i="5" s="1"/>
  <c r="C290" i="4"/>
  <c r="C140" i="5" s="1"/>
  <c r="C13" i="4"/>
  <c r="C142" i="5" s="1"/>
  <c r="C27" i="4"/>
  <c r="C264" i="5" s="1"/>
  <c r="C391" i="4"/>
  <c r="T135" i="4" a="1"/>
  <c r="T135" i="4" s="1"/>
  <c r="AC74" i="5" s="1"/>
  <c r="AL103" i="8" s="1"/>
  <c r="T122" i="4" a="1"/>
  <c r="T122" i="4" s="1"/>
  <c r="AC141" i="5" s="1"/>
  <c r="AL166" i="8" s="1"/>
  <c r="T149" i="4" a="1"/>
  <c r="T149" i="4" s="1"/>
  <c r="AC201" i="5" s="1"/>
  <c r="AL219" i="8" s="1"/>
  <c r="T227" i="4" a="1"/>
  <c r="T227" i="4" s="1"/>
  <c r="AC203" i="5" s="1"/>
  <c r="AL19" i="8" s="1"/>
  <c r="T198" i="4" a="1"/>
  <c r="T198" i="4" s="1"/>
  <c r="AC235" i="5" s="1"/>
  <c r="AL247" i="8" s="1"/>
  <c r="T146" i="4" a="1"/>
  <c r="T146" i="4" s="1"/>
  <c r="AC284" i="5" s="1"/>
  <c r="AL291" i="8" s="1"/>
  <c r="T192" i="4" a="1"/>
  <c r="T192" i="4" s="1"/>
  <c r="AC285" i="5" s="1"/>
  <c r="AL292" i="8" s="1"/>
  <c r="E276" i="4"/>
  <c r="AA272" i="8"/>
  <c r="L316" i="4"/>
  <c r="Q318" i="5" s="1"/>
  <c r="AH320" i="8" s="1"/>
  <c r="AT320" i="8" s="1"/>
  <c r="J320" i="8" s="1"/>
  <c r="L315" i="4"/>
  <c r="Q316" i="5" s="1"/>
  <c r="AH318" i="8" s="1"/>
  <c r="AT318" i="8" s="1"/>
  <c r="J318" i="8" s="1"/>
  <c r="L309" i="4"/>
  <c r="Q308" i="5" s="1"/>
  <c r="AH310" i="8" s="1"/>
  <c r="AT310" i="8" s="1"/>
  <c r="J310" i="8" s="1"/>
  <c r="L347" i="4"/>
  <c r="Q336" i="5" s="1"/>
  <c r="AH336" i="8" s="1"/>
  <c r="AT336" i="8" s="1"/>
  <c r="J336" i="8" s="1"/>
  <c r="L307" i="4"/>
  <c r="Q317" i="5" s="1"/>
  <c r="AH319" i="8" s="1"/>
  <c r="AT319" i="8" s="1"/>
  <c r="J319" i="8" s="1"/>
  <c r="L339" i="4"/>
  <c r="Q319" i="5" s="1"/>
  <c r="AH321" i="8" s="1"/>
  <c r="AT321" i="8" s="1"/>
  <c r="J321" i="8" s="1"/>
  <c r="F314" i="4"/>
  <c r="F339" i="4"/>
  <c r="F309" i="4"/>
  <c r="F315" i="4"/>
  <c r="F307" i="4"/>
  <c r="F347" i="4"/>
  <c r="F316" i="4"/>
  <c r="X164" i="4"/>
  <c r="AI240" i="5" s="1"/>
  <c r="AX89" i="8"/>
  <c r="U164" i="4" a="1"/>
  <c r="U164" i="4" s="1"/>
  <c r="AD240" i="5" s="1"/>
  <c r="U163" i="4" a="1"/>
  <c r="U163" i="4" s="1"/>
  <c r="AD239" i="5" s="1"/>
  <c r="U220" i="4" a="1"/>
  <c r="U220" i="4" s="1"/>
  <c r="AD9" i="5" s="1"/>
  <c r="U223" i="4" a="1"/>
  <c r="U223" i="4" s="1"/>
  <c r="AD15" i="5" s="1"/>
  <c r="U194" i="4" a="1"/>
  <c r="U194" i="4" s="1"/>
  <c r="AD27" i="5" s="1"/>
  <c r="U229" i="4" a="1"/>
  <c r="U229" i="4" s="1"/>
  <c r="AD28" i="5" s="1"/>
  <c r="U207" i="4" a="1"/>
  <c r="U207" i="4" s="1"/>
  <c r="AD72" i="5" s="1"/>
  <c r="U77" i="4" a="1"/>
  <c r="U77" i="4" s="1"/>
  <c r="AD119" i="5" s="1"/>
  <c r="U184" i="4" a="1"/>
  <c r="U184" i="4" s="1"/>
  <c r="AD132" i="5" s="1"/>
  <c r="U144" i="4" a="1"/>
  <c r="U144" i="4" s="1"/>
  <c r="AD155" i="5" s="1"/>
  <c r="U2" i="4" a="1"/>
  <c r="U2" i="4" s="1"/>
  <c r="U224" i="4" a="1"/>
  <c r="U224" i="4" s="1"/>
  <c r="AD169" i="5" s="1"/>
  <c r="U246" i="4" a="1"/>
  <c r="U246" i="4" s="1"/>
  <c r="AD230" i="5" s="1"/>
  <c r="S310" i="4"/>
  <c r="AA309" i="5" s="1"/>
  <c r="M173" i="4"/>
  <c r="R78" i="5" s="1"/>
  <c r="J229" i="4"/>
  <c r="AP386" i="5"/>
  <c r="D53" i="4"/>
  <c r="E43" i="5" s="1"/>
  <c r="W191" i="4"/>
  <c r="AG282" i="5" s="1"/>
  <c r="N90" i="4"/>
  <c r="T82" i="5" s="1"/>
  <c r="AI111" i="8" s="1"/>
  <c r="Q210" i="4"/>
  <c r="X21" i="5" s="1"/>
  <c r="Z210" i="4"/>
  <c r="AL21" i="5" s="1"/>
  <c r="T134" i="4" a="1"/>
  <c r="T134" i="4" s="1"/>
  <c r="AC20" i="5" s="1"/>
  <c r="U54" i="4" a="1"/>
  <c r="U54" i="4" s="1"/>
  <c r="AD47" i="5" s="1"/>
  <c r="L181" i="4"/>
  <c r="Q10" i="5" s="1"/>
  <c r="AH46" i="8" s="1"/>
  <c r="AT46" i="8" s="1"/>
  <c r="J46" i="8" s="1"/>
  <c r="N207" i="4"/>
  <c r="T72" i="5" s="1"/>
  <c r="AI101" i="8" s="1"/>
  <c r="Z233" i="4"/>
  <c r="AL29" i="5" s="1"/>
  <c r="T59" i="4" a="1"/>
  <c r="T59" i="4" s="1"/>
  <c r="AC45" i="5" s="1"/>
  <c r="AL76" i="8" s="1"/>
  <c r="Q37" i="4"/>
  <c r="X62" i="5" s="1"/>
  <c r="U55" i="4" a="1"/>
  <c r="U55" i="4" s="1"/>
  <c r="AD67" i="5" s="1"/>
  <c r="Z38" i="4"/>
  <c r="AL63" i="5" s="1"/>
  <c r="T49" i="4" a="1"/>
  <c r="T49" i="4" s="1"/>
  <c r="AC34" i="5" s="1"/>
  <c r="AL65" i="8" s="1"/>
  <c r="C109" i="4"/>
  <c r="C65" i="5" s="1"/>
  <c r="T203" i="4" a="1"/>
  <c r="T203" i="4" s="1"/>
  <c r="AC37" i="5" s="1"/>
  <c r="AL68" i="8" s="1"/>
  <c r="Y236" i="4"/>
  <c r="AJ95" i="5" s="1"/>
  <c r="T107" i="4" a="1"/>
  <c r="T107" i="4" s="1"/>
  <c r="AC59" i="5" s="1"/>
  <c r="AL88" i="8" s="1"/>
  <c r="AX88" i="8" s="1"/>
  <c r="C56" i="4"/>
  <c r="C116" i="5" s="1"/>
  <c r="Z249" i="4"/>
  <c r="AL99" i="5" s="1"/>
  <c r="P62" i="4"/>
  <c r="W109" i="5" s="1"/>
  <c r="AJ138" i="8" s="1"/>
  <c r="U175" i="4" a="1"/>
  <c r="U175" i="4" s="1"/>
  <c r="AD81" i="5" s="1"/>
  <c r="X268" i="4"/>
  <c r="AI100" i="5" s="1"/>
  <c r="AN129" i="8" s="1"/>
  <c r="AZ129" i="8" s="1"/>
  <c r="P129" i="8" s="1"/>
  <c r="L298" i="4"/>
  <c r="Q124" i="5" s="1"/>
  <c r="AH10" i="8" s="1"/>
  <c r="AT10" i="8" s="1"/>
  <c r="J10" i="8" s="1"/>
  <c r="Y120" i="4"/>
  <c r="AJ93" i="5" s="1"/>
  <c r="X113" i="4"/>
  <c r="AI135" i="5" s="1"/>
  <c r="AN160" i="8" s="1"/>
  <c r="AZ160" i="8" s="1"/>
  <c r="P160" i="8" s="1"/>
  <c r="T92" i="4" a="1"/>
  <c r="T92" i="4" s="1"/>
  <c r="AC111" i="5" s="1"/>
  <c r="AL140" i="8" s="1"/>
  <c r="C141" i="4"/>
  <c r="C123" i="5" s="1"/>
  <c r="I187" i="4"/>
  <c r="L151" i="5" s="1"/>
  <c r="F278" i="4"/>
  <c r="H139" i="5" s="1"/>
  <c r="M296" i="4"/>
  <c r="R156" i="5" s="1"/>
  <c r="Y113" i="4"/>
  <c r="AJ135" i="5" s="1"/>
  <c r="S32" i="4"/>
  <c r="AA129" i="5" s="1"/>
  <c r="D300" i="4"/>
  <c r="E153" i="5" s="1"/>
  <c r="X114" i="4"/>
  <c r="AI138" i="5" s="1"/>
  <c r="AN163" i="8" s="1"/>
  <c r="AZ163" i="8" s="1"/>
  <c r="P163" i="8" s="1"/>
  <c r="H123" i="4"/>
  <c r="K145" i="5" s="1"/>
  <c r="U40" i="4" a="1"/>
  <c r="U40" i="4" s="1"/>
  <c r="AD90" i="5" s="1"/>
  <c r="Q114" i="4"/>
  <c r="X138" i="5" s="1"/>
  <c r="D242" i="4"/>
  <c r="E146" i="5" s="1"/>
  <c r="AD171" i="8" s="1"/>
  <c r="T79" i="4" a="1"/>
  <c r="T79" i="4" s="1"/>
  <c r="AC131" i="5" s="1"/>
  <c r="AL156" i="8" s="1"/>
  <c r="AX156" i="8" s="1"/>
  <c r="N156" i="8" s="1"/>
  <c r="T123" i="4" a="1"/>
  <c r="T123" i="4" s="1"/>
  <c r="AC145" i="5" s="1"/>
  <c r="AL170" i="8" s="1"/>
  <c r="F17" i="4"/>
  <c r="H184" i="5" s="1"/>
  <c r="Y17" i="4"/>
  <c r="AJ184" i="5" s="1"/>
  <c r="Z224" i="4"/>
  <c r="AL169" i="5" s="1"/>
  <c r="Q16" i="4"/>
  <c r="X183" i="5" s="1"/>
  <c r="M82" i="4"/>
  <c r="R158" i="5" s="1"/>
  <c r="E15" i="4"/>
  <c r="F181" i="5" s="1"/>
  <c r="P145" i="4"/>
  <c r="W178" i="5" s="1"/>
  <c r="AJ200" i="8" s="1"/>
  <c r="AV200" i="8" s="1"/>
  <c r="L200" i="8" s="1"/>
  <c r="E83" i="4"/>
  <c r="F159" i="5" s="1"/>
  <c r="C17" i="4"/>
  <c r="C184" i="5" s="1"/>
  <c r="T296" i="4" a="1"/>
  <c r="T296" i="4" s="1"/>
  <c r="AC156" i="5" s="1"/>
  <c r="AL180" i="8" s="1"/>
  <c r="AX180" i="8" s="1"/>
  <c r="N180" i="8" s="1"/>
  <c r="M35" i="4"/>
  <c r="R173" i="5" s="1"/>
  <c r="M148" i="4"/>
  <c r="R200" i="5" s="1"/>
  <c r="X67" i="4"/>
  <c r="AI164" i="5" s="1"/>
  <c r="AN187" i="8" s="1"/>
  <c r="AZ187" i="8" s="1"/>
  <c r="P187" i="8" s="1"/>
  <c r="D67" i="4"/>
  <c r="E164" i="5" s="1"/>
  <c r="AD187" i="8" s="1"/>
  <c r="X247" i="4"/>
  <c r="AI231" i="5" s="1"/>
  <c r="AN243" i="8" s="1"/>
  <c r="AZ243" i="8" s="1"/>
  <c r="P243" i="8" s="1"/>
  <c r="H131" i="4"/>
  <c r="K199" i="5" s="1"/>
  <c r="E245" i="4"/>
  <c r="F229" i="5" s="1"/>
  <c r="T6" i="4" a="1"/>
  <c r="T6" i="4" s="1"/>
  <c r="AC175" i="5" s="1"/>
  <c r="T151" i="4" a="1"/>
  <c r="T151" i="4" s="1"/>
  <c r="AC204" i="5" s="1"/>
  <c r="AL20" i="8" s="1"/>
  <c r="C167" i="4"/>
  <c r="C247" i="5" s="1"/>
  <c r="Z160" i="4"/>
  <c r="AL216" i="5" s="1"/>
  <c r="D231" i="4"/>
  <c r="E221" i="5" s="1"/>
  <c r="AD234" i="8" s="1"/>
  <c r="M231" i="4"/>
  <c r="R221" i="5" s="1"/>
  <c r="Z218" i="4"/>
  <c r="AL242" i="5" s="1"/>
  <c r="T148" i="4" a="1"/>
  <c r="T148" i="4" s="1"/>
  <c r="AC200" i="5" s="1"/>
  <c r="AL18" i="8" s="1"/>
  <c r="L179" i="4"/>
  <c r="Q261" i="5" s="1"/>
  <c r="AH270" i="8" s="1"/>
  <c r="AT270" i="8" s="1"/>
  <c r="J270" i="8" s="1"/>
  <c r="S201" i="4"/>
  <c r="AA249" i="5" s="1"/>
  <c r="I337" i="4"/>
  <c r="L321" i="5" s="1"/>
  <c r="Y204" i="4"/>
  <c r="AJ251" i="5" s="1"/>
  <c r="C288" i="4"/>
  <c r="C214" i="5" s="1"/>
  <c r="M112" i="4"/>
  <c r="R274" i="5" s="1"/>
  <c r="D259" i="4"/>
  <c r="E297" i="5" s="1"/>
  <c r="Y132" i="4"/>
  <c r="AJ294" i="5" s="1"/>
  <c r="U66" i="4" a="1"/>
  <c r="U66" i="4" s="1"/>
  <c r="AD277" i="5" s="1"/>
  <c r="N179" i="4"/>
  <c r="T261" i="5" s="1"/>
  <c r="AI270" i="8" s="1"/>
  <c r="T209" i="4" a="1"/>
  <c r="T209" i="4" s="1"/>
  <c r="AC259" i="5" s="1"/>
  <c r="AL268" i="8" s="1"/>
  <c r="P251" i="4"/>
  <c r="W280" i="5" s="1"/>
  <c r="AJ287" i="8" s="1"/>
  <c r="T129" i="4" a="1"/>
  <c r="T129" i="4" s="1"/>
  <c r="AC283" i="5" s="1"/>
  <c r="AL290" i="8" s="1"/>
  <c r="T258" i="4" a="1"/>
  <c r="T258" i="4" s="1"/>
  <c r="AC296" i="5" s="1"/>
  <c r="AL29" i="8" s="1"/>
  <c r="T132" i="4" a="1"/>
  <c r="T132" i="4" s="1"/>
  <c r="AC294" i="5" s="1"/>
  <c r="AL301" i="8" s="1"/>
  <c r="T279" i="4" a="1"/>
  <c r="T279" i="4" s="1"/>
  <c r="AC286" i="5" s="1"/>
  <c r="AL293" i="8" s="1"/>
  <c r="L338" i="4"/>
  <c r="Q332" i="5" s="1"/>
  <c r="AH332" i="8" s="1"/>
  <c r="AT332" i="8" s="1"/>
  <c r="J332" i="8" s="1"/>
  <c r="Q344" i="4"/>
  <c r="X338" i="5" s="1"/>
  <c r="X365" i="4"/>
  <c r="AI365" i="5" s="1"/>
  <c r="AN363" i="8" s="1"/>
  <c r="O355" i="4"/>
  <c r="U362" i="5" s="1"/>
  <c r="M371" i="4"/>
  <c r="R355" i="5" s="1"/>
  <c r="L358" i="4"/>
  <c r="Q352" i="5" s="1"/>
  <c r="AH351" i="8" s="1"/>
  <c r="I373" i="4"/>
  <c r="L357" i="5" s="1"/>
  <c r="P367" i="4"/>
  <c r="W368" i="5" s="1"/>
  <c r="AJ366" i="8" s="1"/>
  <c r="Y401" i="4"/>
  <c r="AJ408" i="5" s="1"/>
  <c r="N304" i="4"/>
  <c r="T304" i="5" s="1"/>
  <c r="AI306" i="8" s="1"/>
  <c r="N338" i="4"/>
  <c r="T332" i="5" s="1"/>
  <c r="AI332" i="8" s="1"/>
  <c r="N340" i="4"/>
  <c r="T331" i="5" s="1"/>
  <c r="AI31" i="8" s="1"/>
  <c r="N332" i="4"/>
  <c r="T349" i="5" s="1"/>
  <c r="AI349" i="8" s="1"/>
  <c r="X304" i="4"/>
  <c r="AI304" i="5" s="1"/>
  <c r="AN306" i="8" s="1"/>
  <c r="AZ306" i="8" s="1"/>
  <c r="P306" i="8" s="1"/>
  <c r="X340" i="4"/>
  <c r="AI331" i="5" s="1"/>
  <c r="X332" i="4"/>
  <c r="AI349" i="5" s="1"/>
  <c r="AN349" i="8" s="1"/>
  <c r="AZ349" i="8" s="1"/>
  <c r="P349" i="8" s="1"/>
  <c r="X338" i="4"/>
  <c r="AI332" i="5" s="1"/>
  <c r="AN332" i="8" s="1"/>
  <c r="AZ332" i="8" s="1"/>
  <c r="P332" i="8" s="1"/>
  <c r="AC81" i="2"/>
  <c r="S136" i="8"/>
  <c r="AP107" i="5"/>
  <c r="AF21" i="2"/>
  <c r="U119" i="8"/>
  <c r="AR90" i="5"/>
  <c r="I275" i="4"/>
  <c r="L300" i="5" s="1"/>
  <c r="AR300" i="5" s="1"/>
  <c r="I273" i="4"/>
  <c r="I289" i="4"/>
  <c r="Q60" i="4"/>
  <c r="X66" i="5" s="1"/>
  <c r="Q109" i="4"/>
  <c r="X65" i="5" s="1"/>
  <c r="Q185" i="4"/>
  <c r="X136" i="5" s="1"/>
  <c r="Q10" i="4"/>
  <c r="X254" i="5" s="1"/>
  <c r="Q200" i="4"/>
  <c r="X244" i="5" s="1"/>
  <c r="Q125" i="4"/>
  <c r="X278" i="5" s="1"/>
  <c r="Q393" i="4"/>
  <c r="X392" i="5" s="1"/>
  <c r="Q409" i="4"/>
  <c r="X403" i="5" s="1"/>
  <c r="Q414" i="4"/>
  <c r="X415" i="5" s="1"/>
  <c r="Q398" i="4"/>
  <c r="X405" i="5" s="1"/>
  <c r="Q401" i="4"/>
  <c r="X408" i="5" s="1"/>
  <c r="Q413" i="4"/>
  <c r="X414" i="5" s="1"/>
  <c r="X238" i="8"/>
  <c r="AU225" i="5"/>
  <c r="E150" i="4"/>
  <c r="E114" i="4"/>
  <c r="D305" i="4"/>
  <c r="E314" i="5" s="1"/>
  <c r="D306" i="4"/>
  <c r="E315" i="5" s="1"/>
  <c r="D351" i="4"/>
  <c r="E341" i="5" s="1"/>
  <c r="D350" i="4"/>
  <c r="E339" i="5" s="1"/>
  <c r="D344" i="4"/>
  <c r="E338" i="5" s="1"/>
  <c r="D345" i="4"/>
  <c r="E337" i="5" s="1"/>
  <c r="D323" i="4"/>
  <c r="E326" i="5" s="1"/>
  <c r="I116" i="4"/>
  <c r="I115" i="4"/>
  <c r="X305" i="4"/>
  <c r="AI314" i="5" s="1"/>
  <c r="AN316" i="8" s="1"/>
  <c r="AZ316" i="8" s="1"/>
  <c r="P316" i="8" s="1"/>
  <c r="X306" i="4"/>
  <c r="AI315" i="5" s="1"/>
  <c r="AN317" i="8" s="1"/>
  <c r="AZ317" i="8" s="1"/>
  <c r="P317" i="8" s="1"/>
  <c r="X323" i="4"/>
  <c r="AI326" i="5" s="1"/>
  <c r="AN327" i="8" s="1"/>
  <c r="AZ327" i="8" s="1"/>
  <c r="P327" i="8" s="1"/>
  <c r="X343" i="4"/>
  <c r="AI330" i="5" s="1"/>
  <c r="AN331" i="8" s="1"/>
  <c r="AZ331" i="8" s="1"/>
  <c r="P331" i="8" s="1"/>
  <c r="X350" i="4"/>
  <c r="AI339" i="5" s="1"/>
  <c r="AN339" i="8" s="1"/>
  <c r="AZ339" i="8" s="1"/>
  <c r="P339" i="8" s="1"/>
  <c r="X344" i="4"/>
  <c r="AI338" i="5" s="1"/>
  <c r="AN338" i="8" s="1"/>
  <c r="AZ338" i="8" s="1"/>
  <c r="P338" i="8" s="1"/>
  <c r="C73" i="4"/>
  <c r="C192" i="5" s="1"/>
  <c r="R211" i="8" s="1"/>
  <c r="AP211" i="8" s="1"/>
  <c r="C71" i="4"/>
  <c r="C190" i="5" s="1"/>
  <c r="R17" i="8" s="1"/>
  <c r="C222" i="4"/>
  <c r="C269" i="5" s="1"/>
  <c r="R277" i="8" s="1"/>
  <c r="O129" i="4"/>
  <c r="U283" i="5" s="1"/>
  <c r="O190" i="4"/>
  <c r="U281" i="5" s="1"/>
  <c r="O191" i="4"/>
  <c r="U282" i="5" s="1"/>
  <c r="AB120" i="8"/>
  <c r="AZ120" i="8" s="1"/>
  <c r="AY91" i="5"/>
  <c r="Q115" i="4"/>
  <c r="X161" i="5" s="1"/>
  <c r="Q69" i="4"/>
  <c r="X170" i="5" s="1"/>
  <c r="Q392" i="4"/>
  <c r="X413" i="5" s="1"/>
  <c r="Q410" i="4"/>
  <c r="X404" i="5" s="1"/>
  <c r="J372" i="4"/>
  <c r="N356" i="5" s="1"/>
  <c r="AG355" i="8" s="1"/>
  <c r="J353" i="4"/>
  <c r="N360" i="5" s="1"/>
  <c r="AG359" i="8" s="1"/>
  <c r="J355" i="4"/>
  <c r="N362" i="5" s="1"/>
  <c r="AG33" i="8" s="1"/>
  <c r="J362" i="4"/>
  <c r="N373" i="5" s="1"/>
  <c r="AG370" i="8" s="1"/>
  <c r="J354" i="4"/>
  <c r="N370" i="5" s="1"/>
  <c r="AG34" i="8" s="1"/>
  <c r="J363" i="4"/>
  <c r="N372" i="5" s="1"/>
  <c r="AG369" i="8" s="1"/>
  <c r="J352" i="4"/>
  <c r="N358" i="5" s="1"/>
  <c r="AG357" i="8" s="1"/>
  <c r="J364" i="4"/>
  <c r="N359" i="5" s="1"/>
  <c r="AG358" i="8" s="1"/>
  <c r="AV94" i="2"/>
  <c r="AV93" i="2"/>
  <c r="J359" i="4"/>
  <c r="N363" i="5" s="1"/>
  <c r="AG361" i="8" s="1"/>
  <c r="J371" i="4"/>
  <c r="N355" i="5" s="1"/>
  <c r="AG354" i="8" s="1"/>
  <c r="J373" i="4"/>
  <c r="N357" i="5" s="1"/>
  <c r="AG356" i="8" s="1"/>
  <c r="J357" i="4"/>
  <c r="N361" i="5" s="1"/>
  <c r="AG360" i="8" s="1"/>
  <c r="Y304" i="4"/>
  <c r="AJ304" i="5" s="1"/>
  <c r="Y332" i="4"/>
  <c r="AJ349" i="5" s="1"/>
  <c r="Y340" i="4"/>
  <c r="K370" i="4"/>
  <c r="O354" i="5" s="1"/>
  <c r="K366" i="4"/>
  <c r="O367" i="5" s="1"/>
  <c r="K360" i="4"/>
  <c r="O364" i="5" s="1"/>
  <c r="K356" i="4"/>
  <c r="O366" i="5" s="1"/>
  <c r="K369" i="4"/>
  <c r="O353" i="5" s="1"/>
  <c r="K367" i="4"/>
  <c r="O368" i="5" s="1"/>
  <c r="K368" i="4"/>
  <c r="O369" i="5" s="1"/>
  <c r="K358" i="4"/>
  <c r="O352" i="5" s="1"/>
  <c r="J18" i="4"/>
  <c r="N185" i="5" s="1"/>
  <c r="J24" i="4"/>
  <c r="N182" i="5" s="1"/>
  <c r="J174" i="4"/>
  <c r="J302" i="4"/>
  <c r="J173" i="4"/>
  <c r="I378" i="4"/>
  <c r="L378" i="5" s="1"/>
  <c r="I374" i="4"/>
  <c r="L374" i="5" s="1"/>
  <c r="I376" i="4"/>
  <c r="L376" i="5" s="1"/>
  <c r="I381" i="4"/>
  <c r="L381" i="5" s="1"/>
  <c r="I380" i="4"/>
  <c r="L380" i="5" s="1"/>
  <c r="I375" i="4"/>
  <c r="L375" i="5" s="1"/>
  <c r="I377" i="4"/>
  <c r="L377" i="5" s="1"/>
  <c r="I379" i="4"/>
  <c r="L379" i="5" s="1"/>
  <c r="I383" i="4"/>
  <c r="L383" i="5" s="1"/>
  <c r="I382" i="4"/>
  <c r="L382" i="5" s="1"/>
  <c r="C229" i="4"/>
  <c r="C28" i="5" s="1"/>
  <c r="R4" i="8" s="1"/>
  <c r="C2" i="4"/>
  <c r="C20" i="4"/>
  <c r="C187" i="5" s="1"/>
  <c r="R207" i="8" s="1"/>
  <c r="C256" i="4"/>
  <c r="C213" i="5" s="1"/>
  <c r="R228" i="8" s="1"/>
  <c r="C244" i="4"/>
  <c r="C219" i="5" s="1"/>
  <c r="R232" i="8" s="1"/>
  <c r="C230" i="4"/>
  <c r="C220" i="5" s="1"/>
  <c r="R233" i="8" s="1"/>
  <c r="C29" i="4"/>
  <c r="C268" i="5" s="1"/>
  <c r="Y152" i="4"/>
  <c r="AJ205" i="5" s="1"/>
  <c r="Y151" i="4"/>
  <c r="AJ204" i="5" s="1"/>
  <c r="Q106" i="4"/>
  <c r="X58" i="5" s="1"/>
  <c r="Q105" i="4"/>
  <c r="X57" i="5" s="1"/>
  <c r="P317" i="4"/>
  <c r="W305" i="5" s="1"/>
  <c r="AJ307" i="8" s="1"/>
  <c r="P320" i="4"/>
  <c r="W320" i="5" s="1"/>
  <c r="AJ322" i="8" s="1"/>
  <c r="P329" i="4"/>
  <c r="W345" i="5" s="1"/>
  <c r="AJ345" i="8" s="1"/>
  <c r="P336" i="4"/>
  <c r="W346" i="5" s="1"/>
  <c r="AJ346" i="8" s="1"/>
  <c r="P325" i="4"/>
  <c r="W328" i="5" s="1"/>
  <c r="AJ329" i="8" s="1"/>
  <c r="P342" i="4"/>
  <c r="W334" i="5" s="1"/>
  <c r="AJ334" i="8" s="1"/>
  <c r="P319" i="4"/>
  <c r="W329" i="5" s="1"/>
  <c r="AJ330" i="8" s="1"/>
  <c r="P321" i="4"/>
  <c r="W324" i="5" s="1"/>
  <c r="AJ326" i="8" s="1"/>
  <c r="P322" i="4"/>
  <c r="W325" i="5" s="1"/>
  <c r="AJ30" i="8" s="1"/>
  <c r="P334" i="4"/>
  <c r="W322" i="5" s="1"/>
  <c r="AJ324" i="8" s="1"/>
  <c r="P348" i="4"/>
  <c r="W351" i="5" s="1"/>
  <c r="AJ32" i="8" s="1"/>
  <c r="J41" i="4"/>
  <c r="N279" i="5" s="1"/>
  <c r="J39" i="4"/>
  <c r="J260" i="4"/>
  <c r="J170" i="4"/>
  <c r="J295" i="4"/>
  <c r="J37" i="4"/>
  <c r="J172" i="4"/>
  <c r="J206" i="4"/>
  <c r="J126" i="4"/>
  <c r="J261" i="4"/>
  <c r="J199" i="4"/>
  <c r="F233" i="4"/>
  <c r="F234" i="4"/>
  <c r="F205" i="4"/>
  <c r="F272" i="4"/>
  <c r="P84" i="4"/>
  <c r="W160" i="5" s="1"/>
  <c r="AJ183" i="8" s="1"/>
  <c r="P82" i="4"/>
  <c r="W158" i="5" s="1"/>
  <c r="AJ182" i="8" s="1"/>
  <c r="P83" i="4"/>
  <c r="W159" i="5" s="1"/>
  <c r="AJ13" i="8" s="1"/>
  <c r="P193" i="4"/>
  <c r="W210" i="5" s="1"/>
  <c r="AJ225" i="8" s="1"/>
  <c r="P157" i="4"/>
  <c r="W212" i="5" s="1"/>
  <c r="AJ227" i="8" s="1"/>
  <c r="P158" i="4"/>
  <c r="W258" i="5" s="1"/>
  <c r="AJ267" i="8" s="1"/>
  <c r="P288" i="4"/>
  <c r="W214" i="5" s="1"/>
  <c r="AJ22" i="8" s="1"/>
  <c r="AV22" i="8" s="1"/>
  <c r="P155" i="4"/>
  <c r="W209" i="5" s="1"/>
  <c r="AJ224" i="8" s="1"/>
  <c r="P156" i="4"/>
  <c r="W211" i="5" s="1"/>
  <c r="AJ226" i="8" s="1"/>
  <c r="AC26" i="2"/>
  <c r="S131" i="8"/>
  <c r="AP102" i="5"/>
  <c r="AU91" i="5"/>
  <c r="X120" i="8"/>
  <c r="AV120" i="8" s="1"/>
  <c r="M229" i="4"/>
  <c r="R28" i="5" s="1"/>
  <c r="M250" i="4"/>
  <c r="R103" i="5" s="1"/>
  <c r="M2" i="4"/>
  <c r="M20" i="4"/>
  <c r="R187" i="5" s="1"/>
  <c r="M244" i="4"/>
  <c r="R219" i="5" s="1"/>
  <c r="M230" i="4"/>
  <c r="R220" i="5" s="1"/>
  <c r="M256" i="4"/>
  <c r="R213" i="5" s="1"/>
  <c r="M29" i="4"/>
  <c r="R268" i="5" s="1"/>
  <c r="Q312" i="4"/>
  <c r="X311" i="5" s="1"/>
  <c r="Q313" i="4"/>
  <c r="X312" i="5" s="1"/>
  <c r="Q310" i="4"/>
  <c r="X309" i="5" s="1"/>
  <c r="Q349" i="4"/>
  <c r="X335" i="5" s="1"/>
  <c r="BC90" i="2"/>
  <c r="BC91" i="2"/>
  <c r="Z211" i="4"/>
  <c r="AL22" i="5" s="1"/>
  <c r="Z213" i="4"/>
  <c r="AL24" i="5" s="1"/>
  <c r="Z215" i="4"/>
  <c r="AL26" i="5" s="1"/>
  <c r="Z214" i="4"/>
  <c r="AL25" i="5" s="1"/>
  <c r="Q22" i="4"/>
  <c r="X12" i="5" s="1"/>
  <c r="Q262" i="4"/>
  <c r="X4" i="5" s="1"/>
  <c r="Q130" i="4"/>
  <c r="X5" i="5" s="1"/>
  <c r="Q59" i="4"/>
  <c r="X45" i="5" s="1"/>
  <c r="Q299" i="4"/>
  <c r="X154" i="5" s="1"/>
  <c r="Q395" i="4"/>
  <c r="X397" i="5" s="1"/>
  <c r="Q399" i="4"/>
  <c r="X406" i="5" s="1"/>
  <c r="Q394" i="4"/>
  <c r="X396" i="5" s="1"/>
  <c r="Q400" i="4"/>
  <c r="X407" i="5" s="1"/>
  <c r="Q396" i="4"/>
  <c r="X398" i="5" s="1"/>
  <c r="Q404" i="4"/>
  <c r="X394" i="5" s="1"/>
  <c r="N313" i="4"/>
  <c r="T312" i="5" s="1"/>
  <c r="AI314" i="8" s="1"/>
  <c r="N310" i="4"/>
  <c r="T309" i="5" s="1"/>
  <c r="AI311" i="8" s="1"/>
  <c r="N312" i="4"/>
  <c r="T311" i="5" s="1"/>
  <c r="AI313" i="8" s="1"/>
  <c r="N349" i="4"/>
  <c r="T335" i="5" s="1"/>
  <c r="AI335" i="8" s="1"/>
  <c r="AZ90" i="2"/>
  <c r="AZ91" i="2"/>
  <c r="Q214" i="4"/>
  <c r="X25" i="5" s="1"/>
  <c r="Q213" i="4"/>
  <c r="X24" i="5" s="1"/>
  <c r="Q215" i="4"/>
  <c r="X26" i="5" s="1"/>
  <c r="I208" i="4"/>
  <c r="I220" i="4"/>
  <c r="I140" i="4"/>
  <c r="X47" i="4"/>
  <c r="AI33" i="5" s="1"/>
  <c r="AN64" i="8" s="1"/>
  <c r="AZ64" i="8" s="1"/>
  <c r="P64" i="8" s="1"/>
  <c r="X5" i="4"/>
  <c r="AI61" i="5" s="1"/>
  <c r="AN90" i="8" s="1"/>
  <c r="X34" i="4"/>
  <c r="AI149" i="5" s="1"/>
  <c r="AN173" i="8" s="1"/>
  <c r="AZ173" i="8" s="1"/>
  <c r="P173" i="8" s="1"/>
  <c r="X9" i="4"/>
  <c r="AI188" i="5" s="1"/>
  <c r="AN208" i="8" s="1"/>
  <c r="X7" i="4"/>
  <c r="AI176" i="5" s="1"/>
  <c r="AN198" i="8" s="1"/>
  <c r="X48" i="4"/>
  <c r="AI233" i="5" s="1"/>
  <c r="AN245" i="8" s="1"/>
  <c r="AZ245" i="8" s="1"/>
  <c r="X183" i="4"/>
  <c r="AI271" i="5" s="1"/>
  <c r="AN279" i="8" s="1"/>
  <c r="AZ279" i="8" s="1"/>
  <c r="P279" i="8" s="1"/>
  <c r="Y272" i="8"/>
  <c r="AV263" i="5"/>
  <c r="I153" i="4"/>
  <c r="I201" i="4"/>
  <c r="C111" i="4"/>
  <c r="C94" i="5" s="1"/>
  <c r="C297" i="4"/>
  <c r="C272" i="5" s="1"/>
  <c r="R280" i="8" s="1"/>
  <c r="R88" i="8"/>
  <c r="E277" i="4"/>
  <c r="E90" i="4"/>
  <c r="E91" i="4"/>
  <c r="E169" i="4"/>
  <c r="R172" i="8"/>
  <c r="P228" i="4"/>
  <c r="W218" i="5" s="1"/>
  <c r="AJ231" i="8" s="1"/>
  <c r="BB88" i="2"/>
  <c r="BB87" i="2"/>
  <c r="X128" i="4"/>
  <c r="AI179" i="5" s="1"/>
  <c r="AN201" i="8" s="1"/>
  <c r="AZ201" i="8" s="1"/>
  <c r="P201" i="8" s="1"/>
  <c r="X149" i="4"/>
  <c r="AI201" i="5" s="1"/>
  <c r="AN219" i="8" s="1"/>
  <c r="X117" i="4"/>
  <c r="AI232" i="5" s="1"/>
  <c r="AN244" i="8" s="1"/>
  <c r="AZ244" i="8" s="1"/>
  <c r="P244" i="8" s="1"/>
  <c r="X146" i="4"/>
  <c r="AI284" i="5" s="1"/>
  <c r="AN291" i="8" s="1"/>
  <c r="X192" i="4"/>
  <c r="AI285" i="5" s="1"/>
  <c r="AN292" i="8" s="1"/>
  <c r="Q291" i="4"/>
  <c r="X101" i="5" s="1"/>
  <c r="Q268" i="4"/>
  <c r="X100" i="5" s="1"/>
  <c r="Q292" i="4"/>
  <c r="X143" i="5" s="1"/>
  <c r="Q243" i="4"/>
  <c r="X193" i="5" s="1"/>
  <c r="Q252" i="4"/>
  <c r="X157" i="5" s="1"/>
  <c r="Y85" i="8"/>
  <c r="AV56" i="5"/>
  <c r="I317" i="4"/>
  <c r="L305" i="5" s="1"/>
  <c r="I320" i="4"/>
  <c r="L320" i="5" s="1"/>
  <c r="I329" i="4"/>
  <c r="L345" i="5" s="1"/>
  <c r="I336" i="4"/>
  <c r="L346" i="5" s="1"/>
  <c r="I325" i="4"/>
  <c r="L328" i="5" s="1"/>
  <c r="I342" i="4"/>
  <c r="L334" i="5" s="1"/>
  <c r="I319" i="4"/>
  <c r="L329" i="5" s="1"/>
  <c r="I322" i="4"/>
  <c r="L325" i="5" s="1"/>
  <c r="I321" i="4"/>
  <c r="L324" i="5" s="1"/>
  <c r="I335" i="4"/>
  <c r="L323" i="5" s="1"/>
  <c r="I348" i="4"/>
  <c r="L351" i="5" s="1"/>
  <c r="N294" i="4"/>
  <c r="T144" i="5" s="1"/>
  <c r="AI169" i="8" s="1"/>
  <c r="N264" i="4"/>
  <c r="T198" i="5" s="1"/>
  <c r="AI217" i="8" s="1"/>
  <c r="O207" i="4"/>
  <c r="U72" i="5" s="1"/>
  <c r="O35" i="4"/>
  <c r="U173" i="5" s="1"/>
  <c r="O259" i="4"/>
  <c r="U297" i="5" s="1"/>
  <c r="O45" i="4"/>
  <c r="U31" i="5" s="1"/>
  <c r="O47" i="4"/>
  <c r="U33" i="5" s="1"/>
  <c r="O5" i="4"/>
  <c r="O9" i="4"/>
  <c r="U188" i="5" s="1"/>
  <c r="O7" i="4"/>
  <c r="U176" i="5" s="1"/>
  <c r="O183" i="4"/>
  <c r="U271" i="5" s="1"/>
  <c r="X98" i="8"/>
  <c r="AV98" i="8" s="1"/>
  <c r="AU69" i="5"/>
  <c r="R215" i="4"/>
  <c r="R211" i="4"/>
  <c r="R213" i="4"/>
  <c r="R214" i="4"/>
  <c r="C93" i="4"/>
  <c r="C112" i="5" s="1"/>
  <c r="R141" i="8" s="1"/>
  <c r="C143" i="4"/>
  <c r="C126" i="5" s="1"/>
  <c r="C92" i="4"/>
  <c r="C111" i="5" s="1"/>
  <c r="R140" i="8" s="1"/>
  <c r="C139" i="4"/>
  <c r="C110" i="5" s="1"/>
  <c r="R139" i="8" s="1"/>
  <c r="C227" i="4"/>
  <c r="C203" i="5" s="1"/>
  <c r="R19" i="8" s="1"/>
  <c r="C118" i="4"/>
  <c r="C236" i="5" s="1"/>
  <c r="R248" i="8" s="1"/>
  <c r="C197" i="4"/>
  <c r="C234" i="5" s="1"/>
  <c r="C162" i="4"/>
  <c r="C237" i="5" s="1"/>
  <c r="C198" i="4"/>
  <c r="C235" i="5" s="1"/>
  <c r="R247" i="8" s="1"/>
  <c r="C100" i="4"/>
  <c r="C238" i="5" s="1"/>
  <c r="R250" i="8" s="1"/>
  <c r="L234" i="4"/>
  <c r="Q30" i="5" s="1"/>
  <c r="AH62" i="8" s="1"/>
  <c r="AT62" i="8" s="1"/>
  <c r="J62" i="8" s="1"/>
  <c r="L272" i="4"/>
  <c r="Q50" i="5" s="1"/>
  <c r="AH79" i="8" s="1"/>
  <c r="AT79" i="8" s="1"/>
  <c r="J79" i="8" s="1"/>
  <c r="L205" i="4"/>
  <c r="Q53" i="5" s="1"/>
  <c r="AH82" i="8" s="1"/>
  <c r="AT82" i="8" s="1"/>
  <c r="J82" i="8" s="1"/>
  <c r="O69" i="5"/>
  <c r="AG98" i="8"/>
  <c r="R341" i="4"/>
  <c r="R320" i="4"/>
  <c r="R322" i="4"/>
  <c r="R321" i="4"/>
  <c r="R342" i="4"/>
  <c r="R319" i="4"/>
  <c r="R325" i="4"/>
  <c r="R336" i="4"/>
  <c r="R317" i="4"/>
  <c r="R334" i="4"/>
  <c r="R335" i="4"/>
  <c r="R329" i="4"/>
  <c r="R348" i="4"/>
  <c r="Q266" i="4"/>
  <c r="X7" i="5" s="1"/>
  <c r="Q196" i="4"/>
  <c r="X8" i="5" s="1"/>
  <c r="Q64" i="4"/>
  <c r="X3" i="5" s="1"/>
  <c r="Q202" i="4"/>
  <c r="X36" i="5" s="1"/>
  <c r="Q238" i="4"/>
  <c r="X105" i="5" s="1"/>
  <c r="Q121" i="4"/>
  <c r="X113" i="5" s="1"/>
  <c r="Q247" i="4"/>
  <c r="X231" i="5" s="1"/>
  <c r="AC33" i="2"/>
  <c r="AP206" i="5"/>
  <c r="AD221" i="8"/>
  <c r="AP221" i="8" s="1"/>
  <c r="F221" i="8" s="1"/>
  <c r="AV126" i="8"/>
  <c r="Y69" i="4"/>
  <c r="AJ170" i="5" s="1"/>
  <c r="Y410" i="4"/>
  <c r="AJ404" i="5" s="1"/>
  <c r="Y392" i="4"/>
  <c r="AJ413" i="5" s="1"/>
  <c r="Y275" i="4"/>
  <c r="AJ300" i="5" s="1"/>
  <c r="Y273" i="4"/>
  <c r="AJ51" i="5" s="1"/>
  <c r="Y289" i="4"/>
  <c r="AJ52" i="5" s="1"/>
  <c r="Y62" i="4"/>
  <c r="AJ109" i="5" s="1"/>
  <c r="Y75" i="4"/>
  <c r="AJ250" i="5" s="1"/>
  <c r="Y130" i="4"/>
  <c r="AJ5" i="5" s="1"/>
  <c r="Y22" i="4"/>
  <c r="AJ12" i="5" s="1"/>
  <c r="Y262" i="4"/>
  <c r="AJ4" i="5" s="1"/>
  <c r="Y59" i="4"/>
  <c r="AJ45" i="5" s="1"/>
  <c r="Y299" i="4"/>
  <c r="AJ154" i="5" s="1"/>
  <c r="Y395" i="4"/>
  <c r="AJ397" i="5" s="1"/>
  <c r="Y399" i="4"/>
  <c r="AJ406" i="5" s="1"/>
  <c r="Y404" i="4"/>
  <c r="AJ394" i="5" s="1"/>
  <c r="Y396" i="4"/>
  <c r="AJ398" i="5" s="1"/>
  <c r="Y400" i="4"/>
  <c r="AJ407" i="5" s="1"/>
  <c r="Y394" i="4"/>
  <c r="AJ396" i="5" s="1"/>
  <c r="Y277" i="4"/>
  <c r="AJ301" i="5" s="1"/>
  <c r="Y169" i="4"/>
  <c r="AJ54" i="5" s="1"/>
  <c r="Y90" i="4"/>
  <c r="AJ82" i="5" s="1"/>
  <c r="Y91" i="4"/>
  <c r="AJ92" i="5" s="1"/>
  <c r="I277" i="4"/>
  <c r="L301" i="5" s="1"/>
  <c r="AR301" i="5" s="1"/>
  <c r="I169" i="4"/>
  <c r="L54" i="5" s="1"/>
  <c r="I91" i="4"/>
  <c r="L92" i="5" s="1"/>
  <c r="I90" i="4"/>
  <c r="AI17" i="2"/>
  <c r="AG17" i="2"/>
  <c r="AF98" i="8"/>
  <c r="AR98" i="8" s="1"/>
  <c r="H98" i="8" s="1"/>
  <c r="AF84" i="8"/>
  <c r="AR84" i="8" s="1"/>
  <c r="H84" i="8" s="1"/>
  <c r="AR55" i="5"/>
  <c r="AG11" i="2"/>
  <c r="AF11" i="2"/>
  <c r="AI11" i="2"/>
  <c r="Z222" i="8"/>
  <c r="AW207" i="5"/>
  <c r="Z220" i="8"/>
  <c r="AW202" i="5"/>
  <c r="S248" i="4"/>
  <c r="AA76" i="5" s="1"/>
  <c r="S291" i="4"/>
  <c r="AA101" i="5" s="1"/>
  <c r="S268" i="4"/>
  <c r="AA100" i="5" s="1"/>
  <c r="S292" i="4"/>
  <c r="AA143" i="5" s="1"/>
  <c r="S300" i="4"/>
  <c r="AA153" i="5" s="1"/>
  <c r="S252" i="4"/>
  <c r="AA157" i="5" s="1"/>
  <c r="S243" i="4"/>
  <c r="AA193" i="5" s="1"/>
  <c r="S220" i="4"/>
  <c r="AA9" i="5" s="1"/>
  <c r="S208" i="4"/>
  <c r="AA75" i="5" s="1"/>
  <c r="Z85" i="8"/>
  <c r="AW56" i="5"/>
  <c r="Z72" i="8"/>
  <c r="AW41" i="5"/>
  <c r="Q81" i="4"/>
  <c r="X147" i="5" s="1"/>
  <c r="Q80" i="4"/>
  <c r="X134" i="5" s="1"/>
  <c r="AU85" i="8"/>
  <c r="N54" i="4"/>
  <c r="T47" i="5" s="1"/>
  <c r="AI78" i="8" s="1"/>
  <c r="N51" i="4"/>
  <c r="T39" i="5" s="1"/>
  <c r="AI70" i="8" s="1"/>
  <c r="N78" i="4"/>
  <c r="T121" i="5" s="1"/>
  <c r="N124" i="4"/>
  <c r="T276" i="5" s="1"/>
  <c r="AS90" i="2"/>
  <c r="AS91" i="2"/>
  <c r="Y194" i="4"/>
  <c r="AJ27" i="5" s="1"/>
  <c r="Y122" i="4"/>
  <c r="AJ141" i="5" s="1"/>
  <c r="Y246" i="4"/>
  <c r="AJ230" i="5" s="1"/>
  <c r="Y245" i="4"/>
  <c r="AJ229" i="5" s="1"/>
  <c r="J380" i="4"/>
  <c r="N380" i="5" s="1"/>
  <c r="AG376" i="8" s="1"/>
  <c r="J377" i="4"/>
  <c r="N377" i="5" s="1"/>
  <c r="AG373" i="8" s="1"/>
  <c r="J381" i="4"/>
  <c r="N381" i="5" s="1"/>
  <c r="AG377" i="8" s="1"/>
  <c r="J379" i="4"/>
  <c r="N379" i="5" s="1"/>
  <c r="AG375" i="8" s="1"/>
  <c r="J376" i="4"/>
  <c r="N376" i="5" s="1"/>
  <c r="AG372" i="8" s="1"/>
  <c r="J382" i="4"/>
  <c r="N382" i="5" s="1"/>
  <c r="AG378" i="8" s="1"/>
  <c r="J383" i="4"/>
  <c r="N383" i="5" s="1"/>
  <c r="AG379" i="8" s="1"/>
  <c r="J374" i="4"/>
  <c r="N374" i="5" s="1"/>
  <c r="AG35" i="8" s="1"/>
  <c r="I72" i="4"/>
  <c r="I204" i="4"/>
  <c r="J328" i="4"/>
  <c r="N344" i="5" s="1"/>
  <c r="J337" i="4"/>
  <c r="N321" i="5" s="1"/>
  <c r="J327" i="4"/>
  <c r="N343" i="5" s="1"/>
  <c r="J333" i="4"/>
  <c r="N350" i="5" s="1"/>
  <c r="J326" i="4"/>
  <c r="N342" i="5" s="1"/>
  <c r="Q367" i="4"/>
  <c r="X368" i="5" s="1"/>
  <c r="Q358" i="4"/>
  <c r="X352" i="5" s="1"/>
  <c r="Q368" i="4"/>
  <c r="X369" i="5" s="1"/>
  <c r="Q366" i="4"/>
  <c r="X367" i="5" s="1"/>
  <c r="Q369" i="4"/>
  <c r="X353" i="5" s="1"/>
  <c r="Q360" i="4"/>
  <c r="X364" i="5" s="1"/>
  <c r="D223" i="4"/>
  <c r="E15" i="5" s="1"/>
  <c r="AD50" i="8" s="1"/>
  <c r="D82" i="4"/>
  <c r="E158" i="5" s="1"/>
  <c r="AD182" i="8" s="1"/>
  <c r="D84" i="4"/>
  <c r="E160" i="5" s="1"/>
  <c r="AD183" i="8" s="1"/>
  <c r="D156" i="4"/>
  <c r="E211" i="5" s="1"/>
  <c r="AD226" i="8" s="1"/>
  <c r="D193" i="4"/>
  <c r="E210" i="5" s="1"/>
  <c r="AD225" i="8" s="1"/>
  <c r="D157" i="4"/>
  <c r="E212" i="5" s="1"/>
  <c r="AD227" i="8" s="1"/>
  <c r="D155" i="4"/>
  <c r="E209" i="5" s="1"/>
  <c r="AD224" i="8" s="1"/>
  <c r="D158" i="4"/>
  <c r="E258" i="5" s="1"/>
  <c r="AB288" i="8"/>
  <c r="AY281" i="5"/>
  <c r="W71" i="4"/>
  <c r="AG190" i="5" s="1"/>
  <c r="W222" i="4"/>
  <c r="AG269" i="5" s="1"/>
  <c r="W73" i="4"/>
  <c r="AG192" i="5" s="1"/>
  <c r="X180" i="4"/>
  <c r="AI87" i="5" s="1"/>
  <c r="AN116" i="8" s="1"/>
  <c r="AZ116" i="8" s="1"/>
  <c r="P116" i="8" s="1"/>
  <c r="X224" i="4"/>
  <c r="AI169" i="5" s="1"/>
  <c r="AN192" i="8" s="1"/>
  <c r="AZ192" i="8" s="1"/>
  <c r="P192" i="8" s="1"/>
  <c r="Y141" i="4"/>
  <c r="AJ123" i="5" s="1"/>
  <c r="Y159" i="4"/>
  <c r="AJ215" i="5" s="1"/>
  <c r="Y161" i="4"/>
  <c r="AJ217" i="5" s="1"/>
  <c r="H173" i="4"/>
  <c r="K78" i="5" s="1"/>
  <c r="H302" i="4"/>
  <c r="K77" i="5" s="1"/>
  <c r="H174" i="4"/>
  <c r="K79" i="5" s="1"/>
  <c r="H18" i="4"/>
  <c r="K185" i="5" s="1"/>
  <c r="AF205" i="8" s="1"/>
  <c r="AR205" i="8" s="1"/>
  <c r="H205" i="8" s="1"/>
  <c r="H24" i="4"/>
  <c r="K182" i="5" s="1"/>
  <c r="AF203" i="8" s="1"/>
  <c r="AR203" i="8" s="1"/>
  <c r="H203" i="8" s="1"/>
  <c r="M203" i="4"/>
  <c r="R37" i="5" s="1"/>
  <c r="M239" i="4"/>
  <c r="R114" i="5" s="1"/>
  <c r="Q277" i="4"/>
  <c r="X301" i="5" s="1"/>
  <c r="Q90" i="4"/>
  <c r="X82" i="5" s="1"/>
  <c r="Q169" i="4"/>
  <c r="X54" i="5" s="1"/>
  <c r="Q91" i="4"/>
  <c r="X92" i="5" s="1"/>
  <c r="P312" i="4"/>
  <c r="W311" i="5" s="1"/>
  <c r="AJ313" i="8" s="1"/>
  <c r="P313" i="4"/>
  <c r="W312" i="5" s="1"/>
  <c r="AJ314" i="8" s="1"/>
  <c r="P310" i="4"/>
  <c r="W309" i="5" s="1"/>
  <c r="AJ311" i="8" s="1"/>
  <c r="BB91" i="2"/>
  <c r="BB90" i="2"/>
  <c r="P349" i="4"/>
  <c r="W335" i="5" s="1"/>
  <c r="AJ335" i="8" s="1"/>
  <c r="M246" i="4"/>
  <c r="R230" i="5" s="1"/>
  <c r="M194" i="4"/>
  <c r="R27" i="5" s="1"/>
  <c r="M122" i="4"/>
  <c r="R141" i="5" s="1"/>
  <c r="M245" i="4"/>
  <c r="R229" i="5" s="1"/>
  <c r="X27" i="8"/>
  <c r="AU265" i="5"/>
  <c r="AP313" i="5"/>
  <c r="AD315" i="8"/>
  <c r="AP315" i="8" s="1"/>
  <c r="N317" i="4"/>
  <c r="T305" i="5" s="1"/>
  <c r="AI307" i="8" s="1"/>
  <c r="N335" i="4"/>
  <c r="T323" i="5" s="1"/>
  <c r="AI325" i="8" s="1"/>
  <c r="N341" i="4"/>
  <c r="T333" i="5" s="1"/>
  <c r="AI333" i="8" s="1"/>
  <c r="N319" i="4"/>
  <c r="T329" i="5" s="1"/>
  <c r="AI330" i="8" s="1"/>
  <c r="N320" i="4"/>
  <c r="T320" i="5" s="1"/>
  <c r="AI322" i="8" s="1"/>
  <c r="N321" i="4"/>
  <c r="T324" i="5" s="1"/>
  <c r="AI326" i="8" s="1"/>
  <c r="AU326" i="8" s="1"/>
  <c r="N329" i="4"/>
  <c r="T345" i="5" s="1"/>
  <c r="AI345" i="8" s="1"/>
  <c r="N336" i="4"/>
  <c r="T346" i="5" s="1"/>
  <c r="AI346" i="8" s="1"/>
  <c r="N348" i="4"/>
  <c r="T351" i="5" s="1"/>
  <c r="AI32" i="8" s="1"/>
  <c r="N342" i="4"/>
  <c r="T334" i="5" s="1"/>
  <c r="AI334" i="8" s="1"/>
  <c r="N334" i="4"/>
  <c r="T322" i="5" s="1"/>
  <c r="AI324" i="8" s="1"/>
  <c r="N325" i="4"/>
  <c r="T328" i="5" s="1"/>
  <c r="AI329" i="8" s="1"/>
  <c r="Q194" i="4"/>
  <c r="X27" i="5" s="1"/>
  <c r="Q122" i="4"/>
  <c r="X141" i="5" s="1"/>
  <c r="Q123" i="4"/>
  <c r="X145" i="5" s="1"/>
  <c r="Q246" i="4"/>
  <c r="X230" i="5" s="1"/>
  <c r="Q245" i="4"/>
  <c r="X229" i="5" s="1"/>
  <c r="P203" i="4"/>
  <c r="W37" i="5" s="1"/>
  <c r="P239" i="4"/>
  <c r="W114" i="5" s="1"/>
  <c r="AJ142" i="8" s="1"/>
  <c r="AV142" i="8" s="1"/>
  <c r="P225" i="4"/>
  <c r="W196" i="5" s="1"/>
  <c r="AJ215" i="8" s="1"/>
  <c r="U262" i="4" a="1"/>
  <c r="U262" i="4" s="1"/>
  <c r="AD4" i="5" s="1"/>
  <c r="U38" i="4" a="1"/>
  <c r="U38" i="4" s="1"/>
  <c r="AD63" i="5" s="1"/>
  <c r="U170" i="4" a="1"/>
  <c r="U170" i="4" s="1"/>
  <c r="AD68" i="5" s="1"/>
  <c r="U221" i="4" a="1"/>
  <c r="U221" i="4" s="1"/>
  <c r="AD80" i="5" s="1"/>
  <c r="U96" i="4" a="1"/>
  <c r="U96" i="4" s="1"/>
  <c r="AD122" i="5" s="1"/>
  <c r="T50" i="4" a="1"/>
  <c r="T50" i="4" s="1"/>
  <c r="AC38" i="5" s="1"/>
  <c r="AL69" i="8" s="1"/>
  <c r="AX69" i="8" s="1"/>
  <c r="N69" i="8" s="1"/>
  <c r="T12" i="4" a="1"/>
  <c r="T12" i="4" s="1"/>
  <c r="AC263" i="5" s="1"/>
  <c r="AL272" i="8" s="1"/>
  <c r="AX272" i="8" s="1"/>
  <c r="N272" i="8" s="1"/>
  <c r="Y110" i="4"/>
  <c r="AJ88" i="5" s="1"/>
  <c r="Y31" i="4"/>
  <c r="AJ127" i="5" s="1"/>
  <c r="Y253" i="4"/>
  <c r="AJ168" i="5" s="1"/>
  <c r="M314" i="4"/>
  <c r="R313" i="5" s="1"/>
  <c r="Q316" i="4"/>
  <c r="X318" i="5" s="1"/>
  <c r="Q315" i="4"/>
  <c r="X316" i="5" s="1"/>
  <c r="Q309" i="4"/>
  <c r="X308" i="5" s="1"/>
  <c r="Q314" i="4"/>
  <c r="X313" i="5" s="1"/>
  <c r="Q307" i="4"/>
  <c r="X317" i="5" s="1"/>
  <c r="Q339" i="4"/>
  <c r="X319" i="5" s="1"/>
  <c r="Q347" i="4"/>
  <c r="X336" i="5" s="1"/>
  <c r="AD75" i="2"/>
  <c r="D262" i="4"/>
  <c r="E4" i="5" s="1"/>
  <c r="T163" i="4" a="1"/>
  <c r="T163" i="4" s="1"/>
  <c r="AC239" i="5" s="1"/>
  <c r="AL251" i="8" s="1"/>
  <c r="T164" i="4" a="1"/>
  <c r="T164" i="4" s="1"/>
  <c r="AC240" i="5" s="1"/>
  <c r="T22" i="4" a="1"/>
  <c r="T22" i="4" s="1"/>
  <c r="AC12" i="5" s="1"/>
  <c r="AL3" i="8" s="1"/>
  <c r="T194" i="4" a="1"/>
  <c r="T194" i="4" s="1"/>
  <c r="AC27" i="5" s="1"/>
  <c r="AL60" i="8" s="1"/>
  <c r="T229" i="4" a="1"/>
  <c r="T229" i="4" s="1"/>
  <c r="AC28" i="5" s="1"/>
  <c r="AL4" i="8" s="1"/>
  <c r="T223" i="4" a="1"/>
  <c r="T223" i="4" s="1"/>
  <c r="AC15" i="5" s="1"/>
  <c r="AL50" i="8" s="1"/>
  <c r="T207" i="4" a="1"/>
  <c r="T207" i="4" s="1"/>
  <c r="AC72" i="5" s="1"/>
  <c r="AL101" i="8" s="1"/>
  <c r="T31" i="4" a="1"/>
  <c r="T31" i="4" s="1"/>
  <c r="AC127" i="5" s="1"/>
  <c r="AL152" i="8" s="1"/>
  <c r="AX152" i="8" s="1"/>
  <c r="N152" i="8" s="1"/>
  <c r="T13" i="4" a="1"/>
  <c r="T13" i="4" s="1"/>
  <c r="AC142" i="5" s="1"/>
  <c r="AL167" i="8" s="1"/>
  <c r="AX167" i="8" s="1"/>
  <c r="N167" i="8" s="1"/>
  <c r="T2" i="4" a="1"/>
  <c r="T2" i="4" s="1"/>
  <c r="T224" i="4" a="1"/>
  <c r="T224" i="4" s="1"/>
  <c r="AC169" i="5" s="1"/>
  <c r="AL192" i="8" s="1"/>
  <c r="T246" i="4" a="1"/>
  <c r="T246" i="4" s="1"/>
  <c r="AC230" i="5" s="1"/>
  <c r="AL242" i="8" s="1"/>
  <c r="M225" i="4"/>
  <c r="R196" i="5" s="1"/>
  <c r="N156" i="4"/>
  <c r="T211" i="5" s="1"/>
  <c r="AI226" i="8" s="1"/>
  <c r="W130" i="4"/>
  <c r="AG5" i="5" s="1"/>
  <c r="Y182" i="4"/>
  <c r="AJ11" i="5" s="1"/>
  <c r="W92" i="4"/>
  <c r="AG111" i="5" s="1"/>
  <c r="W149" i="4"/>
  <c r="AG201" i="5" s="1"/>
  <c r="AC55" i="2"/>
  <c r="S372" i="4"/>
  <c r="S59" i="4"/>
  <c r="AA45" i="5" s="1"/>
  <c r="D10" i="4"/>
  <c r="E254" i="5" s="1"/>
  <c r="Q44" i="4"/>
  <c r="X18" i="5" s="1"/>
  <c r="M210" i="4"/>
  <c r="R21" i="5" s="1"/>
  <c r="S211" i="4"/>
  <c r="AA22" i="5" s="1"/>
  <c r="R46" i="4"/>
  <c r="Z32" i="5" s="1"/>
  <c r="AK63" i="8" s="1"/>
  <c r="AW63" i="8" s="1"/>
  <c r="Y49" i="4"/>
  <c r="AJ34" i="5" s="1"/>
  <c r="H89" i="4"/>
  <c r="K48" i="5" s="1"/>
  <c r="O140" i="4"/>
  <c r="U14" i="5" s="1"/>
  <c r="S181" i="4"/>
  <c r="AA10" i="5" s="1"/>
  <c r="M46" i="4"/>
  <c r="R32" i="5" s="1"/>
  <c r="O46" i="4"/>
  <c r="U32" i="5" s="1"/>
  <c r="C89" i="4"/>
  <c r="C48" i="5" s="1"/>
  <c r="Z109" i="4"/>
  <c r="AL65" i="5" s="1"/>
  <c r="U106" i="4" a="1"/>
  <c r="U106" i="4" s="1"/>
  <c r="AD58" i="5" s="1"/>
  <c r="H206" i="4"/>
  <c r="K71" i="5" s="1"/>
  <c r="D89" i="4"/>
  <c r="E48" i="5" s="1"/>
  <c r="Q39" i="4"/>
  <c r="X64" i="5" s="1"/>
  <c r="P109" i="4"/>
  <c r="W65" i="5" s="1"/>
  <c r="AJ94" i="8" s="1"/>
  <c r="AV94" i="8" s="1"/>
  <c r="L94" i="8" s="1"/>
  <c r="T51" i="4" a="1"/>
  <c r="T51" i="4" s="1"/>
  <c r="AC39" i="5" s="1"/>
  <c r="AL70" i="8" s="1"/>
  <c r="AX70" i="8" s="1"/>
  <c r="N70" i="8" s="1"/>
  <c r="D249" i="4"/>
  <c r="E99" i="5" s="1"/>
  <c r="C268" i="4"/>
  <c r="C100" i="5" s="1"/>
  <c r="C284" i="4"/>
  <c r="C106" i="5" s="1"/>
  <c r="X120" i="4"/>
  <c r="AI93" i="5" s="1"/>
  <c r="AN122" i="8" s="1"/>
  <c r="AZ122" i="8" s="1"/>
  <c r="P122" i="8" s="1"/>
  <c r="U92" i="4" a="1"/>
  <c r="U92" i="4" s="1"/>
  <c r="AD111" i="5" s="1"/>
  <c r="T175" i="4" a="1"/>
  <c r="T175" i="4" s="1"/>
  <c r="AC81" i="5" s="1"/>
  <c r="AL110" i="8" s="1"/>
  <c r="P142" i="4"/>
  <c r="W125" i="5" s="1"/>
  <c r="AJ11" i="8" s="1"/>
  <c r="AV11" i="8" s="1"/>
  <c r="L11" i="8" s="1"/>
  <c r="N111" i="4"/>
  <c r="T94" i="5" s="1"/>
  <c r="AI123" i="8" s="1"/>
  <c r="Y79" i="4"/>
  <c r="AJ131" i="5" s="1"/>
  <c r="Z33" i="4"/>
  <c r="AL137" i="5" s="1"/>
  <c r="T121" i="4" a="1"/>
  <c r="T121" i="4" s="1"/>
  <c r="AC113" i="5" s="1"/>
  <c r="AL8" i="8" s="1"/>
  <c r="T97" i="4" a="1"/>
  <c r="T97" i="4" s="1"/>
  <c r="AC130" i="5" s="1"/>
  <c r="AL155" i="8" s="1"/>
  <c r="Q187" i="4"/>
  <c r="X151" i="5" s="1"/>
  <c r="T90" i="4" a="1"/>
  <c r="T90" i="4" s="1"/>
  <c r="AC82" i="5" s="1"/>
  <c r="AL111" i="8" s="1"/>
  <c r="H113" i="4"/>
  <c r="K135" i="5" s="1"/>
  <c r="Y123" i="4"/>
  <c r="AJ145" i="5" s="1"/>
  <c r="J91" i="4"/>
  <c r="N92" i="5" s="1"/>
  <c r="Y114" i="4"/>
  <c r="AJ138" i="5" s="1"/>
  <c r="Y65" i="4"/>
  <c r="AJ148" i="5" s="1"/>
  <c r="C186" i="4"/>
  <c r="C150" i="5" s="1"/>
  <c r="X17" i="4"/>
  <c r="AI184" i="5" s="1"/>
  <c r="AN204" i="8" s="1"/>
  <c r="AZ204" i="8" s="1"/>
  <c r="P204" i="8" s="1"/>
  <c r="M99" i="4"/>
  <c r="R166" i="5" s="1"/>
  <c r="Q70" i="4"/>
  <c r="X172" i="5" s="1"/>
  <c r="I17" i="4"/>
  <c r="L184" i="5" s="1"/>
  <c r="X115" i="4"/>
  <c r="AI161" i="5" s="1"/>
  <c r="AN184" i="8" s="1"/>
  <c r="AZ184" i="8" s="1"/>
  <c r="P184" i="8" s="1"/>
  <c r="Y16" i="4"/>
  <c r="AJ183" i="5" s="1"/>
  <c r="F128" i="4"/>
  <c r="H179" i="5" s="1"/>
  <c r="D83" i="4"/>
  <c r="E159" i="5" s="1"/>
  <c r="AD13" i="8" s="1"/>
  <c r="Y145" i="4"/>
  <c r="AJ178" i="5" s="1"/>
  <c r="F193" i="4"/>
  <c r="H210" i="5" s="1"/>
  <c r="L67" i="4"/>
  <c r="Q164" i="5" s="1"/>
  <c r="AH187" i="8" s="1"/>
  <c r="AT187" i="8" s="1"/>
  <c r="J187" i="8" s="1"/>
  <c r="Z15" i="4"/>
  <c r="AL181" i="5" s="1"/>
  <c r="O67" i="4"/>
  <c r="U164" i="5" s="1"/>
  <c r="P217" i="4"/>
  <c r="W227" i="5" s="1"/>
  <c r="Y199" i="4"/>
  <c r="AJ243" i="5" s="1"/>
  <c r="U152" i="4" a="1"/>
  <c r="U152" i="4" s="1"/>
  <c r="AD205" i="5" s="1"/>
  <c r="Q131" i="4"/>
  <c r="X199" i="5" s="1"/>
  <c r="O245" i="4"/>
  <c r="U229" i="5" s="1"/>
  <c r="T73" i="4" a="1"/>
  <c r="T73" i="4" s="1"/>
  <c r="AC192" i="5" s="1"/>
  <c r="AL211" i="8" s="1"/>
  <c r="AX211" i="8" s="1"/>
  <c r="N211" i="8" s="1"/>
  <c r="P167" i="4"/>
  <c r="W247" i="5" s="1"/>
  <c r="AJ258" i="8" s="1"/>
  <c r="AV258" i="8" s="1"/>
  <c r="L258" i="8" s="1"/>
  <c r="L160" i="4"/>
  <c r="Q216" i="5" s="1"/>
  <c r="AH229" i="8" s="1"/>
  <c r="AT229" i="8" s="1"/>
  <c r="J229" i="8" s="1"/>
  <c r="T85" i="4" a="1"/>
  <c r="T85" i="4" s="1"/>
  <c r="AC224" i="5" s="1"/>
  <c r="AL237" i="8" s="1"/>
  <c r="AX237" i="8" s="1"/>
  <c r="N237" i="8" s="1"/>
  <c r="L216" i="4"/>
  <c r="Q223" i="5" s="1"/>
  <c r="AH236" i="8" s="1"/>
  <c r="AT236" i="8" s="1"/>
  <c r="J236" i="8" s="1"/>
  <c r="Q95" i="4"/>
  <c r="X273" i="5" s="1"/>
  <c r="Y201" i="4"/>
  <c r="AJ249" i="5" s="1"/>
  <c r="U85" i="4" a="1"/>
  <c r="U85" i="4" s="1"/>
  <c r="AD224" i="5" s="1"/>
  <c r="Q204" i="4"/>
  <c r="X251" i="5" s="1"/>
  <c r="L176" i="4"/>
  <c r="Q267" i="5" s="1"/>
  <c r="AH275" i="8" s="1"/>
  <c r="AT275" i="8" s="1"/>
  <c r="J275" i="8" s="1"/>
  <c r="M197" i="4"/>
  <c r="R234" i="5" s="1"/>
  <c r="E66" i="4"/>
  <c r="F277" i="5" s="1"/>
  <c r="X259" i="4"/>
  <c r="AI297" i="5" s="1"/>
  <c r="AN303" i="8" s="1"/>
  <c r="AZ303" i="8" s="1"/>
  <c r="P303" i="8" s="1"/>
  <c r="L258" i="4"/>
  <c r="Q296" i="5" s="1"/>
  <c r="AH29" i="8" s="1"/>
  <c r="AT29" i="8" s="1"/>
  <c r="J29" i="8" s="1"/>
  <c r="J235" i="4"/>
  <c r="N253" i="5" s="1"/>
  <c r="X179" i="4"/>
  <c r="AI261" i="5" s="1"/>
  <c r="AN270" i="8" s="1"/>
  <c r="AZ270" i="8" s="1"/>
  <c r="P270" i="8" s="1"/>
  <c r="AC79" i="2"/>
  <c r="C116" i="4"/>
  <c r="C256" i="5" s="1"/>
  <c r="L281" i="4"/>
  <c r="Q292" i="5" s="1"/>
  <c r="AH299" i="8" s="1"/>
  <c r="AT299" i="8" s="1"/>
  <c r="J299" i="8" s="1"/>
  <c r="N27" i="4"/>
  <c r="T264" i="5" s="1"/>
  <c r="U146" i="4" a="1"/>
  <c r="U146" i="4" s="1"/>
  <c r="AD284" i="5" s="1"/>
  <c r="U165" i="4" a="1"/>
  <c r="U165" i="4" s="1"/>
  <c r="AD245" i="5" s="1"/>
  <c r="L287" i="4"/>
  <c r="Q287" i="5" s="1"/>
  <c r="AH294" i="8" s="1"/>
  <c r="AT294" i="8" s="1"/>
  <c r="J294" i="8" s="1"/>
  <c r="O325" i="4"/>
  <c r="U328" i="5" s="1"/>
  <c r="M343" i="4"/>
  <c r="R330" i="5" s="1"/>
  <c r="P341" i="4"/>
  <c r="W333" i="5" s="1"/>
  <c r="AJ333" i="8" s="1"/>
  <c r="T41" i="4" a="1"/>
  <c r="T41" i="4" s="1"/>
  <c r="AC279" i="5" s="1"/>
  <c r="AL28" i="8" s="1"/>
  <c r="L365" i="4"/>
  <c r="Q365" i="5" s="1"/>
  <c r="AH363" i="8" s="1"/>
  <c r="AT363" i="8" s="1"/>
  <c r="Z366" i="4"/>
  <c r="AL367" i="5" s="1"/>
  <c r="D360" i="4"/>
  <c r="E364" i="5" s="1"/>
  <c r="T374" i="4"/>
  <c r="AC374" i="5" s="1"/>
  <c r="AL35" i="8" s="1"/>
  <c r="J375" i="4"/>
  <c r="N375" i="5" s="1"/>
  <c r="AG371" i="8" s="1"/>
  <c r="L89" i="8"/>
  <c r="N92" i="8"/>
  <c r="AP19" i="5"/>
  <c r="AC54" i="2"/>
  <c r="Q318" i="4"/>
  <c r="X306" i="5" s="1"/>
  <c r="Q328" i="4"/>
  <c r="X344" i="5" s="1"/>
  <c r="Q327" i="4"/>
  <c r="X343" i="5" s="1"/>
  <c r="Q333" i="4"/>
  <c r="X350" i="5" s="1"/>
  <c r="Q337" i="4"/>
  <c r="X321" i="5" s="1"/>
  <c r="Q326" i="4"/>
  <c r="X342" i="5" s="1"/>
  <c r="Q346" i="4"/>
  <c r="X340" i="5" s="1"/>
  <c r="F303" i="4"/>
  <c r="F331" i="4"/>
  <c r="Z229" i="4"/>
  <c r="AL28" i="5" s="1"/>
  <c r="Z250" i="4"/>
  <c r="AL103" i="5" s="1"/>
  <c r="Z2" i="4"/>
  <c r="Z20" i="4"/>
  <c r="AL187" i="5" s="1"/>
  <c r="Z256" i="4"/>
  <c r="AL213" i="5" s="1"/>
  <c r="Z230" i="4"/>
  <c r="AL220" i="5" s="1"/>
  <c r="Z29" i="4"/>
  <c r="AL268" i="5" s="1"/>
  <c r="Z244" i="4"/>
  <c r="M282" i="4"/>
  <c r="R222" i="5" s="1"/>
  <c r="M19" i="4"/>
  <c r="R186" i="5" s="1"/>
  <c r="M74" i="4"/>
  <c r="R208" i="5" s="1"/>
  <c r="M407" i="4"/>
  <c r="S19" i="4"/>
  <c r="AA186" i="5" s="1"/>
  <c r="S74" i="4"/>
  <c r="AA208" i="5" s="1"/>
  <c r="S282" i="4"/>
  <c r="AA222" i="5" s="1"/>
  <c r="BG90" i="2"/>
  <c r="BG91" i="2"/>
  <c r="Z316" i="8"/>
  <c r="AW314" i="5"/>
  <c r="AD172" i="8"/>
  <c r="AP147" i="5"/>
  <c r="F195" i="4"/>
  <c r="H228" i="5" s="1"/>
  <c r="F85" i="4"/>
  <c r="X311" i="4"/>
  <c r="AI310" i="5" s="1"/>
  <c r="AN312" i="8" s="1"/>
  <c r="AZ312" i="8" s="1"/>
  <c r="P312" i="8" s="1"/>
  <c r="X324" i="4"/>
  <c r="AI327" i="5" s="1"/>
  <c r="AN328" i="8" s="1"/>
  <c r="AZ328" i="8" s="1"/>
  <c r="P328" i="8" s="1"/>
  <c r="X330" i="4"/>
  <c r="AI347" i="5" s="1"/>
  <c r="AN347" i="8" s="1"/>
  <c r="AZ347" i="8" s="1"/>
  <c r="P347" i="8" s="1"/>
  <c r="R332" i="4"/>
  <c r="R338" i="4"/>
  <c r="R304" i="4"/>
  <c r="R340" i="4"/>
  <c r="F344" i="4"/>
  <c r="F343" i="4"/>
  <c r="F305" i="4"/>
  <c r="F345" i="4"/>
  <c r="F306" i="4"/>
  <c r="F323" i="4"/>
  <c r="F350" i="4"/>
  <c r="F351" i="4"/>
  <c r="R238" i="8"/>
  <c r="Q163" i="4"/>
  <c r="X239" i="5" s="1"/>
  <c r="Q164" i="4"/>
  <c r="X240" i="5" s="1"/>
  <c r="Q71" i="4"/>
  <c r="X190" i="5" s="1"/>
  <c r="Q73" i="4"/>
  <c r="X192" i="5" s="1"/>
  <c r="Q222" i="4"/>
  <c r="X269" i="5" s="1"/>
  <c r="R164" i="4"/>
  <c r="R163" i="4"/>
  <c r="V311" i="4"/>
  <c r="AF310" i="5" s="1"/>
  <c r="V324" i="4"/>
  <c r="AF327" i="5" s="1"/>
  <c r="E364" i="4"/>
  <c r="E357" i="4"/>
  <c r="E362" i="4"/>
  <c r="E372" i="4"/>
  <c r="E373" i="4"/>
  <c r="E371" i="4"/>
  <c r="E355" i="4"/>
  <c r="E352" i="4"/>
  <c r="E359" i="4"/>
  <c r="E353" i="4"/>
  <c r="E354" i="4"/>
  <c r="E361" i="4"/>
  <c r="E363" i="4"/>
  <c r="AQ94" i="2"/>
  <c r="AQ93" i="2"/>
  <c r="P71" i="4"/>
  <c r="W190" i="5" s="1"/>
  <c r="AJ17" i="8" s="1"/>
  <c r="P73" i="4"/>
  <c r="W192" i="5" s="1"/>
  <c r="AJ211" i="8" s="1"/>
  <c r="P99" i="4"/>
  <c r="W166" i="5" s="1"/>
  <c r="AJ189" i="8" s="1"/>
  <c r="AV189" i="8" s="1"/>
  <c r="P222" i="4"/>
  <c r="W269" i="5" s="1"/>
  <c r="AJ277" i="8" s="1"/>
  <c r="R180" i="4"/>
  <c r="R224" i="4"/>
  <c r="AG64" i="2"/>
  <c r="AI64" i="2"/>
  <c r="AF64" i="2"/>
  <c r="AF238" i="8"/>
  <c r="AR238" i="8" s="1"/>
  <c r="H238" i="8" s="1"/>
  <c r="AR225" i="5"/>
  <c r="P23" i="4"/>
  <c r="W13" i="5" s="1"/>
  <c r="AJ48" i="8" s="1"/>
  <c r="P53" i="4"/>
  <c r="W43" i="5" s="1"/>
  <c r="AJ74" i="8" s="1"/>
  <c r="P298" i="4"/>
  <c r="W124" i="5" s="1"/>
  <c r="AJ10" i="8" s="1"/>
  <c r="P56" i="4"/>
  <c r="W116" i="5" s="1"/>
  <c r="P412" i="4"/>
  <c r="W402" i="5" s="1"/>
  <c r="AJ394" i="8" s="1"/>
  <c r="AV394" i="8" s="1"/>
  <c r="L394" i="8" s="1"/>
  <c r="P403" i="4"/>
  <c r="W393" i="5" s="1"/>
  <c r="AJ386" i="8" s="1"/>
  <c r="AV386" i="8" s="1"/>
  <c r="L386" i="8" s="1"/>
  <c r="P93" i="4"/>
  <c r="W112" i="5" s="1"/>
  <c r="AJ141" i="8" s="1"/>
  <c r="P143" i="4"/>
  <c r="W126" i="5" s="1"/>
  <c r="AJ151" i="8" s="1"/>
  <c r="P139" i="4"/>
  <c r="W110" i="5" s="1"/>
  <c r="AJ139" i="8" s="1"/>
  <c r="P92" i="4"/>
  <c r="W111" i="5" s="1"/>
  <c r="AJ140" i="8" s="1"/>
  <c r="P98" i="4"/>
  <c r="W163" i="5" s="1"/>
  <c r="AJ186" i="8" s="1"/>
  <c r="P227" i="4"/>
  <c r="W203" i="5" s="1"/>
  <c r="AJ19" i="8" s="1"/>
  <c r="P118" i="4"/>
  <c r="W236" i="5" s="1"/>
  <c r="AJ248" i="8" s="1"/>
  <c r="AV248" i="8" s="1"/>
  <c r="L248" i="8" s="1"/>
  <c r="P197" i="4"/>
  <c r="W234" i="5" s="1"/>
  <c r="AJ246" i="8" s="1"/>
  <c r="AV246" i="8" s="1"/>
  <c r="L246" i="8" s="1"/>
  <c r="P162" i="4"/>
  <c r="W237" i="5" s="1"/>
  <c r="AJ249" i="8" s="1"/>
  <c r="AV249" i="8" s="1"/>
  <c r="L249" i="8" s="1"/>
  <c r="P198" i="4"/>
  <c r="W235" i="5" s="1"/>
  <c r="AJ247" i="8" s="1"/>
  <c r="AV247" i="8" s="1"/>
  <c r="L247" i="8" s="1"/>
  <c r="P100" i="4"/>
  <c r="W238" i="5" s="1"/>
  <c r="AJ250" i="8" s="1"/>
  <c r="AV250" i="8" s="1"/>
  <c r="L250" i="8" s="1"/>
  <c r="P415" i="4"/>
  <c r="W409" i="5" s="1"/>
  <c r="AJ400" i="8" s="1"/>
  <c r="AV400" i="8" s="1"/>
  <c r="L400" i="8" s="1"/>
  <c r="AT381" i="8"/>
  <c r="P19" i="4"/>
  <c r="W186" i="5" s="1"/>
  <c r="AJ206" i="8" s="1"/>
  <c r="AV206" i="8" s="1"/>
  <c r="L206" i="8" s="1"/>
  <c r="P282" i="4"/>
  <c r="W222" i="5" s="1"/>
  <c r="AJ235" i="8" s="1"/>
  <c r="P74" i="4"/>
  <c r="W208" i="5" s="1"/>
  <c r="AJ223" i="8" s="1"/>
  <c r="P407" i="4"/>
  <c r="W395" i="5" s="1"/>
  <c r="AJ388" i="8" s="1"/>
  <c r="AV388" i="8" s="1"/>
  <c r="L388" i="8" s="1"/>
  <c r="I164" i="4"/>
  <c r="I163" i="4"/>
  <c r="I42" i="4"/>
  <c r="I43" i="4"/>
  <c r="I44" i="4"/>
  <c r="L372" i="4"/>
  <c r="Q356" i="5" s="1"/>
  <c r="AH355" i="8" s="1"/>
  <c r="L371" i="4"/>
  <c r="Q355" i="5" s="1"/>
  <c r="AH354" i="8" s="1"/>
  <c r="L363" i="4"/>
  <c r="Q372" i="5" s="1"/>
  <c r="AH369" i="8" s="1"/>
  <c r="L362" i="4"/>
  <c r="Q373" i="5" s="1"/>
  <c r="AH370" i="8" s="1"/>
  <c r="L352" i="4"/>
  <c r="Q358" i="5" s="1"/>
  <c r="AH357" i="8" s="1"/>
  <c r="L364" i="4"/>
  <c r="Q359" i="5" s="1"/>
  <c r="AH358" i="8" s="1"/>
  <c r="L353" i="4"/>
  <c r="Q360" i="5" s="1"/>
  <c r="AH359" i="8" s="1"/>
  <c r="L359" i="4"/>
  <c r="Q363" i="5" s="1"/>
  <c r="AH361" i="8" s="1"/>
  <c r="AX93" i="2"/>
  <c r="AX94" i="2"/>
  <c r="L373" i="4"/>
  <c r="Q357" i="5" s="1"/>
  <c r="AH356" i="8" s="1"/>
  <c r="L355" i="4"/>
  <c r="Q362" i="5" s="1"/>
  <c r="AH33" i="8" s="1"/>
  <c r="L361" i="4"/>
  <c r="Q371" i="5" s="1"/>
  <c r="AH368" i="8" s="1"/>
  <c r="L354" i="4"/>
  <c r="Q370" i="5" s="1"/>
  <c r="AH34" i="8" s="1"/>
  <c r="P174" i="4"/>
  <c r="W79" i="5" s="1"/>
  <c r="AJ108" i="8" s="1"/>
  <c r="AV108" i="8" s="1"/>
  <c r="L108" i="8" s="1"/>
  <c r="P173" i="4"/>
  <c r="W78" i="5" s="1"/>
  <c r="AJ107" i="8" s="1"/>
  <c r="AV107" i="8" s="1"/>
  <c r="L107" i="8" s="1"/>
  <c r="P302" i="4"/>
  <c r="W77" i="5" s="1"/>
  <c r="AJ106" i="8" s="1"/>
  <c r="AV106" i="8" s="1"/>
  <c r="L106" i="8" s="1"/>
  <c r="P24" i="4"/>
  <c r="W182" i="5" s="1"/>
  <c r="AJ203" i="8" s="1"/>
  <c r="AV203" i="8" s="1"/>
  <c r="L203" i="8" s="1"/>
  <c r="P14" i="4"/>
  <c r="W180" i="5" s="1"/>
  <c r="AJ15" i="8" s="1"/>
  <c r="AV15" i="8" s="1"/>
  <c r="L15" i="8" s="1"/>
  <c r="P18" i="4"/>
  <c r="W185" i="5" s="1"/>
  <c r="AJ205" i="8" s="1"/>
  <c r="H190" i="4"/>
  <c r="K281" i="5" s="1"/>
  <c r="H191" i="4"/>
  <c r="K282" i="5" s="1"/>
  <c r="H129" i="4"/>
  <c r="K283" i="5" s="1"/>
  <c r="W377" i="4"/>
  <c r="AG377" i="5" s="1"/>
  <c r="W378" i="4"/>
  <c r="AG378" i="5" s="1"/>
  <c r="W374" i="4"/>
  <c r="AG374" i="5" s="1"/>
  <c r="W376" i="4"/>
  <c r="AG376" i="5" s="1"/>
  <c r="W382" i="4"/>
  <c r="AG382" i="5" s="1"/>
  <c r="W383" i="4"/>
  <c r="AG383" i="5" s="1"/>
  <c r="W380" i="4"/>
  <c r="AG380" i="5" s="1"/>
  <c r="W379" i="4"/>
  <c r="AG379" i="5" s="1"/>
  <c r="W381" i="4"/>
  <c r="AG381" i="5" s="1"/>
  <c r="W375" i="4"/>
  <c r="AG375" i="5" s="1"/>
  <c r="H274" i="4"/>
  <c r="K288" i="5" s="1"/>
  <c r="H257" i="4"/>
  <c r="K295" i="5" s="1"/>
  <c r="H280" i="4"/>
  <c r="K290" i="5" s="1"/>
  <c r="H270" i="4"/>
  <c r="K291" i="5" s="1"/>
  <c r="L237" i="4"/>
  <c r="Q104" i="5" s="1"/>
  <c r="AH133" i="8" s="1"/>
  <c r="AT133" i="8" s="1"/>
  <c r="J133" i="8" s="1"/>
  <c r="L242" i="4"/>
  <c r="Q146" i="5" s="1"/>
  <c r="AH171" i="8" s="1"/>
  <c r="AT171" i="8" s="1"/>
  <c r="J171" i="8" s="1"/>
  <c r="L228" i="4"/>
  <c r="Q218" i="5" s="1"/>
  <c r="AH231" i="8" s="1"/>
  <c r="AT231" i="8" s="1"/>
  <c r="J231" i="8" s="1"/>
  <c r="AX88" i="2"/>
  <c r="AX87" i="2"/>
  <c r="Y303" i="4"/>
  <c r="AJ303" i="5" s="1"/>
  <c r="Y331" i="4"/>
  <c r="AJ348" i="5" s="1"/>
  <c r="F212" i="4"/>
  <c r="F210" i="4"/>
  <c r="F148" i="4"/>
  <c r="F147" i="4"/>
  <c r="J106" i="4"/>
  <c r="N58" i="5" s="1"/>
  <c r="J57" i="4"/>
  <c r="J105" i="4"/>
  <c r="AB296" i="8"/>
  <c r="AY289" i="5"/>
  <c r="I138" i="4"/>
  <c r="I101" i="4"/>
  <c r="I25" i="4"/>
  <c r="I178" i="4"/>
  <c r="I175" i="4"/>
  <c r="I76" i="4"/>
  <c r="I177" i="4"/>
  <c r="I136" i="4"/>
  <c r="BH87" i="2"/>
  <c r="BH88" i="2"/>
  <c r="C313" i="4"/>
  <c r="C312" i="5" s="1"/>
  <c r="R314" i="8" s="1"/>
  <c r="C310" i="4"/>
  <c r="C309" i="5" s="1"/>
  <c r="R311" i="8" s="1"/>
  <c r="C312" i="4"/>
  <c r="C311" i="5" s="1"/>
  <c r="R313" i="8" s="1"/>
  <c r="AO91" i="2"/>
  <c r="AO90" i="2"/>
  <c r="F3" i="4"/>
  <c r="F54" i="4"/>
  <c r="F50" i="4"/>
  <c r="F402" i="4"/>
  <c r="F78" i="4"/>
  <c r="F166" i="4"/>
  <c r="F52" i="4"/>
  <c r="F167" i="4"/>
  <c r="F165" i="4"/>
  <c r="F168" i="4"/>
  <c r="F124" i="4"/>
  <c r="F26" i="4"/>
  <c r="F51" i="4"/>
  <c r="F58" i="4"/>
  <c r="F36" i="4"/>
  <c r="X317" i="4"/>
  <c r="AI305" i="5" s="1"/>
  <c r="AN307" i="8" s="1"/>
  <c r="AZ307" i="8" s="1"/>
  <c r="P307" i="8" s="1"/>
  <c r="X319" i="4"/>
  <c r="AI329" i="5" s="1"/>
  <c r="AN330" i="8" s="1"/>
  <c r="AZ330" i="8" s="1"/>
  <c r="P330" i="8" s="1"/>
  <c r="X334" i="4"/>
  <c r="AI322" i="5" s="1"/>
  <c r="AN324" i="8" s="1"/>
  <c r="AZ324" i="8" s="1"/>
  <c r="P324" i="8" s="1"/>
  <c r="X321" i="4"/>
  <c r="AI324" i="5" s="1"/>
  <c r="AN326" i="8" s="1"/>
  <c r="AZ326" i="8" s="1"/>
  <c r="P326" i="8" s="1"/>
  <c r="X329" i="4"/>
  <c r="AI345" i="5" s="1"/>
  <c r="AN345" i="8" s="1"/>
  <c r="AZ345" i="8" s="1"/>
  <c r="P345" i="8" s="1"/>
  <c r="X336" i="4"/>
  <c r="AI346" i="5" s="1"/>
  <c r="AN346" i="8" s="1"/>
  <c r="AZ346" i="8" s="1"/>
  <c r="P346" i="8" s="1"/>
  <c r="X335" i="4"/>
  <c r="AI323" i="5" s="1"/>
  <c r="AN325" i="8" s="1"/>
  <c r="AZ325" i="8" s="1"/>
  <c r="P325" i="8" s="1"/>
  <c r="X320" i="4"/>
  <c r="AI320" i="5" s="1"/>
  <c r="AN322" i="8" s="1"/>
  <c r="AZ322" i="8" s="1"/>
  <c r="P322" i="8" s="1"/>
  <c r="X342" i="4"/>
  <c r="AI334" i="5" s="1"/>
  <c r="AN334" i="8" s="1"/>
  <c r="AZ334" i="8" s="1"/>
  <c r="P334" i="8" s="1"/>
  <c r="X325" i="4"/>
  <c r="AI328" i="5" s="1"/>
  <c r="AN329" i="8" s="1"/>
  <c r="AZ329" i="8" s="1"/>
  <c r="P329" i="8" s="1"/>
  <c r="C47" i="4"/>
  <c r="C33" i="5" s="1"/>
  <c r="C45" i="4"/>
  <c r="C31" i="5" s="1"/>
  <c r="C5" i="4"/>
  <c r="C61" i="5" s="1"/>
  <c r="R90" i="8" s="1"/>
  <c r="C34" i="4"/>
  <c r="C149" i="5" s="1"/>
  <c r="C7" i="4"/>
  <c r="C176" i="5" s="1"/>
  <c r="R198" i="8" s="1"/>
  <c r="C9" i="4"/>
  <c r="C188" i="5" s="1"/>
  <c r="R208" i="8" s="1"/>
  <c r="C48" i="4"/>
  <c r="C233" i="5" s="1"/>
  <c r="R245" i="8" s="1"/>
  <c r="C183" i="4"/>
  <c r="C271" i="5" s="1"/>
  <c r="P60" i="4"/>
  <c r="W66" i="5" s="1"/>
  <c r="AJ95" i="8" s="1"/>
  <c r="AV95" i="8" s="1"/>
  <c r="L95" i="8" s="1"/>
  <c r="P187" i="4"/>
  <c r="W151" i="5" s="1"/>
  <c r="AJ175" i="8" s="1"/>
  <c r="AV175" i="8" s="1"/>
  <c r="L175" i="8" s="1"/>
  <c r="P185" i="4"/>
  <c r="W136" i="5" s="1"/>
  <c r="AJ161" i="8" s="1"/>
  <c r="AV161" i="8" s="1"/>
  <c r="L161" i="8" s="1"/>
  <c r="P10" i="4"/>
  <c r="W254" i="5" s="1"/>
  <c r="AJ26" i="8" s="1"/>
  <c r="AV26" i="8" s="1"/>
  <c r="L26" i="8" s="1"/>
  <c r="P200" i="4"/>
  <c r="W244" i="5" s="1"/>
  <c r="AJ255" i="8" s="1"/>
  <c r="AV255" i="8" s="1"/>
  <c r="P125" i="4"/>
  <c r="W278" i="5" s="1"/>
  <c r="AJ286" i="8" s="1"/>
  <c r="AV286" i="8" s="1"/>
  <c r="L286" i="8" s="1"/>
  <c r="P393" i="4"/>
  <c r="W392" i="5" s="1"/>
  <c r="AJ36" i="8" s="1"/>
  <c r="AV36" i="8" s="1"/>
  <c r="L36" i="8" s="1"/>
  <c r="P409" i="4"/>
  <c r="W403" i="5" s="1"/>
  <c r="AJ395" i="8" s="1"/>
  <c r="AV395" i="8" s="1"/>
  <c r="L395" i="8" s="1"/>
  <c r="P414" i="4"/>
  <c r="W415" i="5" s="1"/>
  <c r="AJ406" i="8" s="1"/>
  <c r="AV406" i="8" s="1"/>
  <c r="L406" i="8" s="1"/>
  <c r="P398" i="4"/>
  <c r="W405" i="5" s="1"/>
  <c r="AJ397" i="8" s="1"/>
  <c r="AV397" i="8" s="1"/>
  <c r="L397" i="8" s="1"/>
  <c r="P401" i="4"/>
  <c r="W408" i="5" s="1"/>
  <c r="AJ399" i="8" s="1"/>
  <c r="AV399" i="8" s="1"/>
  <c r="L399" i="8" s="1"/>
  <c r="P413" i="4"/>
  <c r="W414" i="5" s="1"/>
  <c r="AJ405" i="8" s="1"/>
  <c r="AV405" i="8" s="1"/>
  <c r="L405" i="8" s="1"/>
  <c r="L92" i="4"/>
  <c r="Q111" i="5" s="1"/>
  <c r="AH140" i="8" s="1"/>
  <c r="AT140" i="8" s="1"/>
  <c r="J140" i="8" s="1"/>
  <c r="L93" i="4"/>
  <c r="Q112" i="5" s="1"/>
  <c r="AH141" i="8" s="1"/>
  <c r="AT141" i="8" s="1"/>
  <c r="J141" i="8" s="1"/>
  <c r="L139" i="4"/>
  <c r="Q110" i="5" s="1"/>
  <c r="AH139" i="8" s="1"/>
  <c r="AT139" i="8" s="1"/>
  <c r="J139" i="8" s="1"/>
  <c r="L65" i="4"/>
  <c r="Q148" i="5" s="1"/>
  <c r="AH12" i="8" s="1"/>
  <c r="AT12" i="8" s="1"/>
  <c r="J12" i="8" s="1"/>
  <c r="L98" i="4"/>
  <c r="Q163" i="5" s="1"/>
  <c r="AH186" i="8" s="1"/>
  <c r="AT186" i="8" s="1"/>
  <c r="J186" i="8" s="1"/>
  <c r="L227" i="4"/>
  <c r="Q203" i="5" s="1"/>
  <c r="AH19" i="8" s="1"/>
  <c r="AT19" i="8" s="1"/>
  <c r="J19" i="8" s="1"/>
  <c r="L145" i="4"/>
  <c r="Q178" i="5" s="1"/>
  <c r="AH200" i="8" s="1"/>
  <c r="AT200" i="8" s="1"/>
  <c r="J200" i="8" s="1"/>
  <c r="L198" i="4"/>
  <c r="Q235" i="5" s="1"/>
  <c r="AH247" i="8" s="1"/>
  <c r="AT247" i="8" s="1"/>
  <c r="J247" i="8" s="1"/>
  <c r="L100" i="4"/>
  <c r="Q238" i="5" s="1"/>
  <c r="AH250" i="8" s="1"/>
  <c r="AT250" i="8" s="1"/>
  <c r="J250" i="8" s="1"/>
  <c r="L118" i="4"/>
  <c r="Q236" i="5" s="1"/>
  <c r="AH248" i="8" s="1"/>
  <c r="AT248" i="8" s="1"/>
  <c r="J248" i="8" s="1"/>
  <c r="L197" i="4"/>
  <c r="Q234" i="5" s="1"/>
  <c r="AH246" i="8" s="1"/>
  <c r="AT246" i="8" s="1"/>
  <c r="J246" i="8" s="1"/>
  <c r="C212" i="4"/>
  <c r="C23" i="5" s="1"/>
  <c r="C148" i="4"/>
  <c r="C200" i="5" s="1"/>
  <c r="C147" i="4"/>
  <c r="C293" i="5" s="1"/>
  <c r="Z194" i="4"/>
  <c r="AL27" i="5" s="1"/>
  <c r="Z122" i="4"/>
  <c r="AL141" i="5" s="1"/>
  <c r="Z123" i="4"/>
  <c r="AL145" i="5" s="1"/>
  <c r="Z246" i="4"/>
  <c r="AL230" i="5" s="1"/>
  <c r="Z245" i="4"/>
  <c r="AL229" i="5" s="1"/>
  <c r="C237" i="4"/>
  <c r="C104" i="5" s="1"/>
  <c r="C228" i="4"/>
  <c r="C218" i="5" s="1"/>
  <c r="AO87" i="2"/>
  <c r="AO88" i="2"/>
  <c r="E146" i="4"/>
  <c r="E192" i="4"/>
  <c r="E149" i="4"/>
  <c r="E117" i="4"/>
  <c r="P101" i="4"/>
  <c r="W35" i="5" s="1"/>
  <c r="AJ66" i="8" s="1"/>
  <c r="P178" i="4"/>
  <c r="W85" i="5" s="1"/>
  <c r="AJ114" i="8" s="1"/>
  <c r="P177" i="4"/>
  <c r="W83" i="5" s="1"/>
  <c r="AJ112" i="8" s="1"/>
  <c r="P136" i="4"/>
  <c r="W84" i="5" s="1"/>
  <c r="AJ113" i="8" s="1"/>
  <c r="AV113" i="8" s="1"/>
  <c r="L113" i="8" s="1"/>
  <c r="P175" i="4"/>
  <c r="W81" i="5" s="1"/>
  <c r="AJ110" i="8" s="1"/>
  <c r="P138" i="4"/>
  <c r="W86" i="5" s="1"/>
  <c r="AJ115" i="8" s="1"/>
  <c r="AV115" i="8" s="1"/>
  <c r="L115" i="8" s="1"/>
  <c r="P76" i="4"/>
  <c r="W115" i="5" s="1"/>
  <c r="AJ143" i="8" s="1"/>
  <c r="AV143" i="8" s="1"/>
  <c r="L143" i="8" s="1"/>
  <c r="P25" i="4"/>
  <c r="W252" i="5" s="1"/>
  <c r="AJ262" i="8" s="1"/>
  <c r="AV262" i="8" s="1"/>
  <c r="L262" i="8" s="1"/>
  <c r="P106" i="4"/>
  <c r="W58" i="5" s="1"/>
  <c r="AJ87" i="8" s="1"/>
  <c r="P105" i="4"/>
  <c r="W57" i="5" s="1"/>
  <c r="AJ86" i="8" s="1"/>
  <c r="AV86" i="8" s="1"/>
  <c r="L86" i="8" s="1"/>
  <c r="P45" i="4"/>
  <c r="W31" i="5" s="1"/>
  <c r="AJ5" i="8" s="1"/>
  <c r="P46" i="4"/>
  <c r="W32" i="5" s="1"/>
  <c r="AJ63" i="8" s="1"/>
  <c r="P5" i="4"/>
  <c r="W61" i="5" s="1"/>
  <c r="AJ90" i="8" s="1"/>
  <c r="P34" i="4"/>
  <c r="W149" i="5" s="1"/>
  <c r="AJ173" i="8" s="1"/>
  <c r="AV173" i="8" s="1"/>
  <c r="L173" i="8" s="1"/>
  <c r="P7" i="4"/>
  <c r="W176" i="5" s="1"/>
  <c r="AJ198" i="8" s="1"/>
  <c r="P9" i="4"/>
  <c r="W188" i="5" s="1"/>
  <c r="AJ208" i="8" s="1"/>
  <c r="P48" i="4"/>
  <c r="W233" i="5" s="1"/>
  <c r="AJ245" i="8" s="1"/>
  <c r="AV245" i="8" s="1"/>
  <c r="L245" i="8" s="1"/>
  <c r="P183" i="4"/>
  <c r="W271" i="5" s="1"/>
  <c r="AJ279" i="8" s="1"/>
  <c r="E213" i="4"/>
  <c r="E211" i="4"/>
  <c r="E214" i="4"/>
  <c r="E215" i="4"/>
  <c r="W220" i="8"/>
  <c r="AU220" i="8" s="1"/>
  <c r="AT202" i="5"/>
  <c r="AL31" i="2"/>
  <c r="R15" i="4"/>
  <c r="Z181" i="5" s="1"/>
  <c r="AK202" i="8" s="1"/>
  <c r="R405" i="4"/>
  <c r="Z410" i="5" s="1"/>
  <c r="R411" i="4"/>
  <c r="Z411" i="5" s="1"/>
  <c r="R297" i="4"/>
  <c r="R111" i="4"/>
  <c r="F413" i="4"/>
  <c r="F218" i="4"/>
  <c r="F185" i="4"/>
  <c r="F187" i="4"/>
  <c r="F55" i="4"/>
  <c r="F414" i="4"/>
  <c r="F109" i="4"/>
  <c r="F125" i="4"/>
  <c r="F10" i="4"/>
  <c r="F409" i="4"/>
  <c r="F60" i="4"/>
  <c r="F398" i="4"/>
  <c r="F38" i="4"/>
  <c r="F401" i="4"/>
  <c r="F200" i="4"/>
  <c r="F393" i="4"/>
  <c r="R153" i="4"/>
  <c r="R201" i="4"/>
  <c r="P248" i="4"/>
  <c r="W76" i="5" s="1"/>
  <c r="AJ105" i="8" s="1"/>
  <c r="AV105" i="8" s="1"/>
  <c r="L105" i="8" s="1"/>
  <c r="P291" i="4"/>
  <c r="W101" i="5" s="1"/>
  <c r="AJ130" i="8" s="1"/>
  <c r="AV130" i="8" s="1"/>
  <c r="L130" i="8" s="1"/>
  <c r="P249" i="4"/>
  <c r="W99" i="5" s="1"/>
  <c r="AJ128" i="8" s="1"/>
  <c r="P292" i="4"/>
  <c r="W143" i="5" s="1"/>
  <c r="AJ168" i="8" s="1"/>
  <c r="AV168" i="8" s="1"/>
  <c r="L168" i="8" s="1"/>
  <c r="P243" i="4"/>
  <c r="W193" i="5" s="1"/>
  <c r="AJ212" i="8" s="1"/>
  <c r="AV212" i="8" s="1"/>
  <c r="L212" i="8" s="1"/>
  <c r="P252" i="4"/>
  <c r="W157" i="5" s="1"/>
  <c r="AJ181" i="8" s="1"/>
  <c r="AV181" i="8" s="1"/>
  <c r="L181" i="8" s="1"/>
  <c r="P260" i="4"/>
  <c r="W46" i="5" s="1"/>
  <c r="AJ77" i="8" s="1"/>
  <c r="AV77" i="8" s="1"/>
  <c r="L77" i="8" s="1"/>
  <c r="P206" i="4"/>
  <c r="W71" i="5" s="1"/>
  <c r="AJ100" i="8" s="1"/>
  <c r="AV100" i="8" s="1"/>
  <c r="L100" i="8" s="1"/>
  <c r="P172" i="4"/>
  <c r="W70" i="5" s="1"/>
  <c r="AJ99" i="8" s="1"/>
  <c r="P37" i="4"/>
  <c r="W62" i="5" s="1"/>
  <c r="AJ91" i="8" s="1"/>
  <c r="AV91" i="8" s="1"/>
  <c r="L91" i="8" s="1"/>
  <c r="P170" i="4"/>
  <c r="W68" i="5" s="1"/>
  <c r="AJ97" i="8" s="1"/>
  <c r="AV97" i="8" s="1"/>
  <c r="L97" i="8" s="1"/>
  <c r="P261" i="4"/>
  <c r="W96" i="5" s="1"/>
  <c r="AJ125" i="8" s="1"/>
  <c r="AV125" i="8" s="1"/>
  <c r="L125" i="8" s="1"/>
  <c r="P295" i="4"/>
  <c r="W98" i="5" s="1"/>
  <c r="AJ127" i="8" s="1"/>
  <c r="AV127" i="8" s="1"/>
  <c r="L127" i="8" s="1"/>
  <c r="P126" i="4"/>
  <c r="W162" i="5" s="1"/>
  <c r="AJ185" i="8" s="1"/>
  <c r="AV185" i="8" s="1"/>
  <c r="L185" i="8" s="1"/>
  <c r="P199" i="4"/>
  <c r="W243" i="5" s="1"/>
  <c r="AJ254" i="8" s="1"/>
  <c r="P41" i="4"/>
  <c r="W279" i="5" s="1"/>
  <c r="AJ28" i="8" s="1"/>
  <c r="O26" i="4"/>
  <c r="U49" i="5" s="1"/>
  <c r="O54" i="4"/>
  <c r="U47" i="5" s="1"/>
  <c r="F322" i="4"/>
  <c r="F321" i="4"/>
  <c r="F334" i="4"/>
  <c r="F335" i="4"/>
  <c r="F317" i="4"/>
  <c r="F325" i="4"/>
  <c r="F319" i="4"/>
  <c r="F320" i="4"/>
  <c r="F348" i="4"/>
  <c r="F342" i="4"/>
  <c r="F336" i="4"/>
  <c r="F341" i="4"/>
  <c r="F329" i="4"/>
  <c r="D266" i="4"/>
  <c r="E7" i="5" s="1"/>
  <c r="D64" i="4"/>
  <c r="E3" i="5" s="1"/>
  <c r="D196" i="4"/>
  <c r="E8" i="5" s="1"/>
  <c r="D202" i="4"/>
  <c r="E36" i="5" s="1"/>
  <c r="D121" i="4"/>
  <c r="E113" i="5" s="1"/>
  <c r="D238" i="4"/>
  <c r="E105" i="5" s="1"/>
  <c r="AD134" i="8" s="1"/>
  <c r="AP134" i="8" s="1"/>
  <c r="D251" i="4"/>
  <c r="E280" i="5" s="1"/>
  <c r="C101" i="4"/>
  <c r="C35" i="5" s="1"/>
  <c r="R66" i="8" s="1"/>
  <c r="C178" i="4"/>
  <c r="C85" i="5" s="1"/>
  <c r="C177" i="4"/>
  <c r="C83" i="5" s="1"/>
  <c r="C175" i="4"/>
  <c r="C81" i="5" s="1"/>
  <c r="C136" i="4"/>
  <c r="C84" i="5" s="1"/>
  <c r="C138" i="4"/>
  <c r="C86" i="5" s="1"/>
  <c r="C76" i="4"/>
  <c r="C115" i="5" s="1"/>
  <c r="C25" i="4"/>
  <c r="C252" i="5" s="1"/>
  <c r="C275" i="4"/>
  <c r="C300" i="5" s="1"/>
  <c r="C289" i="4"/>
  <c r="C52" i="5" s="1"/>
  <c r="R81" i="8" s="1"/>
  <c r="C273" i="4"/>
  <c r="C51" i="5" s="1"/>
  <c r="C68" i="4"/>
  <c r="C165" i="5" s="1"/>
  <c r="C389" i="4"/>
  <c r="R66" i="4"/>
  <c r="R12" i="4"/>
  <c r="M69" i="4"/>
  <c r="R170" i="5" s="1"/>
  <c r="M116" i="4"/>
  <c r="R256" i="5" s="1"/>
  <c r="M392" i="4"/>
  <c r="M410" i="4"/>
  <c r="M275" i="4"/>
  <c r="R300" i="5" s="1"/>
  <c r="M289" i="4"/>
  <c r="R52" i="5" s="1"/>
  <c r="M62" i="4"/>
  <c r="R109" i="5" s="1"/>
  <c r="M75" i="4"/>
  <c r="R250" i="5" s="1"/>
  <c r="M130" i="4"/>
  <c r="R5" i="5" s="1"/>
  <c r="M22" i="4"/>
  <c r="R12" i="5" s="1"/>
  <c r="M262" i="4"/>
  <c r="R4" i="5" s="1"/>
  <c r="M89" i="4"/>
  <c r="R48" i="5" s="1"/>
  <c r="M299" i="4"/>
  <c r="R154" i="5" s="1"/>
  <c r="M404" i="4"/>
  <c r="M394" i="4"/>
  <c r="M395" i="4"/>
  <c r="M396" i="4"/>
  <c r="M399" i="4"/>
  <c r="M400" i="4"/>
  <c r="M277" i="4"/>
  <c r="R301" i="5" s="1"/>
  <c r="M169" i="4"/>
  <c r="R54" i="5" s="1"/>
  <c r="M90" i="4"/>
  <c r="R82" i="5" s="1"/>
  <c r="M91" i="4"/>
  <c r="R92" i="5" s="1"/>
  <c r="BG85" i="2"/>
  <c r="BG84" i="2"/>
  <c r="E81" i="4"/>
  <c r="E80" i="4"/>
  <c r="Z101" i="4"/>
  <c r="AL35" i="5" s="1"/>
  <c r="Z136" i="4"/>
  <c r="AL84" i="5" s="1"/>
  <c r="Z177" i="4"/>
  <c r="AL83" i="5" s="1"/>
  <c r="Z76" i="4"/>
  <c r="AL115" i="5" s="1"/>
  <c r="Z178" i="4"/>
  <c r="AL85" i="5" s="1"/>
  <c r="Z175" i="4"/>
  <c r="AL81" i="5" s="1"/>
  <c r="Z25" i="4"/>
  <c r="AL252" i="5" s="1"/>
  <c r="Z235" i="4"/>
  <c r="AL253" i="5" s="1"/>
  <c r="Z207" i="4"/>
  <c r="AL72" i="5" s="1"/>
  <c r="Z135" i="4"/>
  <c r="AL74" i="5" s="1"/>
  <c r="Z106" i="4"/>
  <c r="AL58" i="5" s="1"/>
  <c r="Z105" i="4"/>
  <c r="AL57" i="5" s="1"/>
  <c r="J311" i="4"/>
  <c r="N310" i="5" s="1"/>
  <c r="J324" i="4"/>
  <c r="N327" i="5" s="1"/>
  <c r="J330" i="4"/>
  <c r="N347" i="5" s="1"/>
  <c r="X381" i="4"/>
  <c r="AI381" i="5" s="1"/>
  <c r="AN377" i="8" s="1"/>
  <c r="X380" i="4"/>
  <c r="AI380" i="5" s="1"/>
  <c r="AN376" i="8" s="1"/>
  <c r="X378" i="4"/>
  <c r="AI378" i="5" s="1"/>
  <c r="AN374" i="8" s="1"/>
  <c r="X375" i="4"/>
  <c r="AI375" i="5" s="1"/>
  <c r="AN371" i="8" s="1"/>
  <c r="X376" i="4"/>
  <c r="AI376" i="5" s="1"/>
  <c r="AN372" i="8" s="1"/>
  <c r="X382" i="4"/>
  <c r="AI382" i="5" s="1"/>
  <c r="AN378" i="8" s="1"/>
  <c r="X374" i="4"/>
  <c r="AI374" i="5" s="1"/>
  <c r="AN35" i="8" s="1"/>
  <c r="V318" i="4"/>
  <c r="AF306" i="5" s="1"/>
  <c r="V333" i="4"/>
  <c r="AF350" i="5" s="1"/>
  <c r="V326" i="4"/>
  <c r="AF342" i="5" s="1"/>
  <c r="V328" i="4"/>
  <c r="AF344" i="5" s="1"/>
  <c r="V327" i="4"/>
  <c r="AF343" i="5" s="1"/>
  <c r="V346" i="4"/>
  <c r="AF340" i="5" s="1"/>
  <c r="E183" i="4"/>
  <c r="F271" i="5" s="1"/>
  <c r="E5" i="4"/>
  <c r="E9" i="4"/>
  <c r="E49" i="4"/>
  <c r="E46" i="4"/>
  <c r="E34" i="4"/>
  <c r="E7" i="4"/>
  <c r="E47" i="4"/>
  <c r="E48" i="4"/>
  <c r="E45" i="4"/>
  <c r="R353" i="4"/>
  <c r="Z360" i="5" s="1"/>
  <c r="R354" i="4"/>
  <c r="Z370" i="5" s="1"/>
  <c r="AK34" i="8" s="1"/>
  <c r="R361" i="4"/>
  <c r="R357" i="4"/>
  <c r="R362" i="4"/>
  <c r="R359" i="4"/>
  <c r="R373" i="4"/>
  <c r="R363" i="4"/>
  <c r="R364" i="4"/>
  <c r="R352" i="4"/>
  <c r="R355" i="4"/>
  <c r="R372" i="4"/>
  <c r="BD94" i="2"/>
  <c r="BD93" i="2"/>
  <c r="R371" i="4"/>
  <c r="Z355" i="5" s="1"/>
  <c r="AK354" i="8" s="1"/>
  <c r="J72" i="4"/>
  <c r="J204" i="4"/>
  <c r="X141" i="4"/>
  <c r="AI123" i="5" s="1"/>
  <c r="AN9" i="8" s="1"/>
  <c r="AZ9" i="8" s="1"/>
  <c r="P9" i="8" s="1"/>
  <c r="X144" i="4"/>
  <c r="AI155" i="5" s="1"/>
  <c r="AN179" i="8" s="1"/>
  <c r="AZ179" i="8" s="1"/>
  <c r="P179" i="8" s="1"/>
  <c r="X161" i="4"/>
  <c r="AI217" i="5" s="1"/>
  <c r="AN230" i="8" s="1"/>
  <c r="AZ230" i="8" s="1"/>
  <c r="P230" i="8" s="1"/>
  <c r="X95" i="4"/>
  <c r="AI273" i="5" s="1"/>
  <c r="AN281" i="8" s="1"/>
  <c r="AZ281" i="8" s="1"/>
  <c r="P281" i="8" s="1"/>
  <c r="F276" i="4"/>
  <c r="F302" i="4"/>
  <c r="H77" i="5" s="1"/>
  <c r="F174" i="4"/>
  <c r="H79" i="5" s="1"/>
  <c r="F24" i="4"/>
  <c r="H182" i="5" s="1"/>
  <c r="F14" i="4"/>
  <c r="H180" i="5" s="1"/>
  <c r="F18" i="4"/>
  <c r="H185" i="5" s="1"/>
  <c r="L326" i="4"/>
  <c r="Q342" i="5" s="1"/>
  <c r="AH342" i="8" s="1"/>
  <c r="AT342" i="8" s="1"/>
  <c r="J342" i="8" s="1"/>
  <c r="L337" i="4"/>
  <c r="Q321" i="5" s="1"/>
  <c r="AH323" i="8" s="1"/>
  <c r="AT323" i="8" s="1"/>
  <c r="J323" i="8" s="1"/>
  <c r="L328" i="4"/>
  <c r="Q344" i="5" s="1"/>
  <c r="AH344" i="8" s="1"/>
  <c r="AT344" i="8" s="1"/>
  <c r="J344" i="8" s="1"/>
  <c r="L327" i="4"/>
  <c r="Q343" i="5" s="1"/>
  <c r="AH343" i="8" s="1"/>
  <c r="AT343" i="8" s="1"/>
  <c r="J343" i="8" s="1"/>
  <c r="L333" i="4"/>
  <c r="Q350" i="5" s="1"/>
  <c r="AH350" i="8" s="1"/>
  <c r="AT350" i="8" s="1"/>
  <c r="J350" i="8" s="1"/>
  <c r="L346" i="4"/>
  <c r="Q340" i="5" s="1"/>
  <c r="AH340" i="8" s="1"/>
  <c r="AT340" i="8" s="1"/>
  <c r="J340" i="8" s="1"/>
  <c r="Z203" i="4"/>
  <c r="AL37" i="5" s="1"/>
  <c r="Z225" i="4"/>
  <c r="AL196" i="5" s="1"/>
  <c r="AX312" i="8"/>
  <c r="Y216" i="4"/>
  <c r="AJ223" i="5" s="1"/>
  <c r="Y119" i="4"/>
  <c r="AJ241" i="5" s="1"/>
  <c r="R277" i="4"/>
  <c r="R91" i="4"/>
  <c r="R169" i="4"/>
  <c r="R90" i="4"/>
  <c r="T313" i="4"/>
  <c r="AC312" i="5" s="1"/>
  <c r="AL314" i="8" s="1"/>
  <c r="T310" i="4"/>
  <c r="AC309" i="5" s="1"/>
  <c r="T312" i="4"/>
  <c r="AC311" i="5" s="1"/>
  <c r="BF91" i="2"/>
  <c r="BF90" i="2"/>
  <c r="X381" i="8"/>
  <c r="AU384" i="5"/>
  <c r="AO252" i="8"/>
  <c r="BA241" i="5"/>
  <c r="C182" i="4"/>
  <c r="C11" i="5" s="1"/>
  <c r="C236" i="4"/>
  <c r="C95" i="5" s="1"/>
  <c r="C137" i="4"/>
  <c r="C260" i="5" s="1"/>
  <c r="C209" i="4"/>
  <c r="C259" i="5" s="1"/>
  <c r="C219" i="4"/>
  <c r="C265" i="5" s="1"/>
  <c r="C176" i="4"/>
  <c r="C267" i="5" s="1"/>
  <c r="Q276" i="4"/>
  <c r="X302" i="5" s="1"/>
  <c r="AV302" i="5" s="1"/>
  <c r="U267" i="4" a="1"/>
  <c r="U267" i="4" s="1"/>
  <c r="AD73" i="5" s="1"/>
  <c r="U161" i="4" a="1"/>
  <c r="U161" i="4" s="1"/>
  <c r="AD217" i="5" s="1"/>
  <c r="T262" i="4" a="1"/>
  <c r="T262" i="4" s="1"/>
  <c r="AC4" i="5" s="1"/>
  <c r="AL41" i="8" s="1"/>
  <c r="AX41" i="8" s="1"/>
  <c r="N41" i="8" s="1"/>
  <c r="T52" i="4" a="1"/>
  <c r="T52" i="4" s="1"/>
  <c r="AC40" i="5" s="1"/>
  <c r="AL71" i="8" s="1"/>
  <c r="AX71" i="8" s="1"/>
  <c r="N71" i="8" s="1"/>
  <c r="T170" i="4" a="1"/>
  <c r="T170" i="4" s="1"/>
  <c r="AC68" i="5" s="1"/>
  <c r="AL97" i="8" s="1"/>
  <c r="T300" i="4" a="1"/>
  <c r="T300" i="4" s="1"/>
  <c r="AC153" i="5" s="1"/>
  <c r="AL177" i="8" s="1"/>
  <c r="L225" i="4"/>
  <c r="Q196" i="5" s="1"/>
  <c r="AH215" i="8" s="1"/>
  <c r="AT215" i="8" s="1"/>
  <c r="J215" i="8" s="1"/>
  <c r="T179" i="4" a="1"/>
  <c r="T179" i="4" s="1"/>
  <c r="AC261" i="5" s="1"/>
  <c r="AL270" i="8" s="1"/>
  <c r="W152" i="8"/>
  <c r="AU152" i="8" s="1"/>
  <c r="I314" i="4"/>
  <c r="L313" i="5" s="1"/>
  <c r="E315" i="4"/>
  <c r="E339" i="4"/>
  <c r="E309" i="4"/>
  <c r="E314" i="4"/>
  <c r="E307" i="4"/>
  <c r="E347" i="4"/>
  <c r="E316" i="4"/>
  <c r="U104" i="4" a="1"/>
  <c r="U104" i="4" s="1"/>
  <c r="AD56" i="5" s="1"/>
  <c r="U60" i="4" a="1"/>
  <c r="U60" i="4" s="1"/>
  <c r="AD66" i="5" s="1"/>
  <c r="J36" i="3"/>
  <c r="H378" i="4"/>
  <c r="K378" i="5" s="1"/>
  <c r="S307" i="4"/>
  <c r="AA317" i="5" s="1"/>
  <c r="M110" i="4"/>
  <c r="R88" i="5" s="1"/>
  <c r="AP60" i="5"/>
  <c r="AD89" i="8"/>
  <c r="AP89" i="8" s="1"/>
  <c r="F89" i="8" s="1"/>
  <c r="U273" i="4" a="1"/>
  <c r="U273" i="4" s="1"/>
  <c r="AD51" i="5" s="1"/>
  <c r="U298" i="4" a="1"/>
  <c r="U298" i="4" s="1"/>
  <c r="AD124" i="5" s="1"/>
  <c r="U218" i="4" a="1"/>
  <c r="U218" i="4" s="1"/>
  <c r="AD242" i="5" s="1"/>
  <c r="U168" i="4" a="1"/>
  <c r="U168" i="4" s="1"/>
  <c r="AD248" i="5" s="1"/>
  <c r="U30" i="4" a="1"/>
  <c r="U30" i="4" s="1"/>
  <c r="AD275" i="5" s="1"/>
  <c r="U259" i="4" a="1"/>
  <c r="U259" i="4" s="1"/>
  <c r="AD297" i="5" s="1"/>
  <c r="U200" i="4" a="1"/>
  <c r="U200" i="4" s="1"/>
  <c r="AD244" i="5" s="1"/>
  <c r="U269" i="4" a="1"/>
  <c r="U269" i="4" s="1"/>
  <c r="AD2" i="5" s="1"/>
  <c r="J28" i="3"/>
  <c r="U154" i="4" a="1"/>
  <c r="U154" i="4" s="1"/>
  <c r="AF55" i="2"/>
  <c r="W61" i="4"/>
  <c r="AG262" i="5" s="1"/>
  <c r="W139" i="4"/>
  <c r="AG110" i="5" s="1"/>
  <c r="M59" i="4"/>
  <c r="R45" i="5" s="1"/>
  <c r="N155" i="4"/>
  <c r="T209" i="5" s="1"/>
  <c r="AI224" i="8" s="1"/>
  <c r="M44" i="4"/>
  <c r="R18" i="5" s="1"/>
  <c r="N286" i="4"/>
  <c r="T108" i="5" s="1"/>
  <c r="T23" i="4" a="1"/>
  <c r="T23" i="4" s="1"/>
  <c r="AC13" i="5" s="1"/>
  <c r="AL48" i="8" s="1"/>
  <c r="M47" i="4"/>
  <c r="R33" i="5" s="1"/>
  <c r="Z89" i="4"/>
  <c r="AL48" i="5" s="1"/>
  <c r="D140" i="4"/>
  <c r="E14" i="5" s="1"/>
  <c r="AD49" i="8" s="1"/>
  <c r="AP49" i="8" s="1"/>
  <c r="M49" i="4"/>
  <c r="R34" i="5" s="1"/>
  <c r="P49" i="4"/>
  <c r="W34" i="5" s="1"/>
  <c r="AJ65" i="8" s="1"/>
  <c r="AV65" i="8" s="1"/>
  <c r="D248" i="4"/>
  <c r="E76" i="5" s="1"/>
  <c r="U205" i="4" a="1"/>
  <c r="U205" i="4" s="1"/>
  <c r="AD53" i="5" s="1"/>
  <c r="M37" i="4"/>
  <c r="R62" i="5" s="1"/>
  <c r="Z39" i="4"/>
  <c r="AL64" i="5" s="1"/>
  <c r="Q249" i="4"/>
  <c r="X99" i="5" s="1"/>
  <c r="T39" i="4" a="1"/>
  <c r="T39" i="4" s="1"/>
  <c r="AC64" i="5" s="1"/>
  <c r="AL93" i="8" s="1"/>
  <c r="AX93" i="8" s="1"/>
  <c r="N93" i="8" s="1"/>
  <c r="M111" i="4"/>
  <c r="R94" i="5" s="1"/>
  <c r="U121" i="4" a="1"/>
  <c r="U121" i="4" s="1"/>
  <c r="AD113" i="5" s="1"/>
  <c r="M138" i="4"/>
  <c r="R86" i="5" s="1"/>
  <c r="P237" i="4"/>
  <c r="W104" i="5" s="1"/>
  <c r="AJ133" i="8" s="1"/>
  <c r="Z143" i="4"/>
  <c r="AL126" i="5" s="1"/>
  <c r="Y111" i="4"/>
  <c r="AJ94" i="5" s="1"/>
  <c r="T105" i="4" a="1"/>
  <c r="T105" i="4" s="1"/>
  <c r="AC57" i="5" s="1"/>
  <c r="AL86" i="8" s="1"/>
  <c r="AX86" i="8" s="1"/>
  <c r="Q79" i="4"/>
  <c r="X131" i="5" s="1"/>
  <c r="O242" i="4"/>
  <c r="U146" i="5" s="1"/>
  <c r="T77" i="4" a="1"/>
  <c r="T77" i="4" s="1"/>
  <c r="AC119" i="5" s="1"/>
  <c r="AL147" i="8" s="1"/>
  <c r="AX147" i="8" s="1"/>
  <c r="N147" i="8" s="1"/>
  <c r="O113" i="4"/>
  <c r="U135" i="5" s="1"/>
  <c r="R188" i="4"/>
  <c r="Z152" i="5" s="1"/>
  <c r="AK176" i="8" s="1"/>
  <c r="Y278" i="4"/>
  <c r="AJ139" i="5" s="1"/>
  <c r="T110" i="4" a="1"/>
  <c r="T110" i="4" s="1"/>
  <c r="AC88" i="5" s="1"/>
  <c r="AL117" i="8" s="1"/>
  <c r="P113" i="4"/>
  <c r="W135" i="5" s="1"/>
  <c r="AJ160" i="8" s="1"/>
  <c r="C114" i="4"/>
  <c r="C138" i="5" s="1"/>
  <c r="C296" i="4"/>
  <c r="C156" i="5" s="1"/>
  <c r="X300" i="4"/>
  <c r="AI153" i="5" s="1"/>
  <c r="AN177" i="8" s="1"/>
  <c r="AZ177" i="8" s="1"/>
  <c r="P177" i="8" s="1"/>
  <c r="C242" i="4"/>
  <c r="C146" i="5" s="1"/>
  <c r="C293" i="4"/>
  <c r="C89" i="5" s="1"/>
  <c r="X80" i="4"/>
  <c r="AI134" i="5" s="1"/>
  <c r="AN159" i="8" s="1"/>
  <c r="AZ159" i="8" s="1"/>
  <c r="P159" i="8" s="1"/>
  <c r="T188" i="4" a="1"/>
  <c r="T188" i="4" s="1"/>
  <c r="AC152" i="5" s="1"/>
  <c r="AL176" i="8" s="1"/>
  <c r="AX176" i="8" s="1"/>
  <c r="Z255" i="4"/>
  <c r="AL195" i="5" s="1"/>
  <c r="P70" i="4"/>
  <c r="W172" i="5" s="1"/>
  <c r="AJ14" i="8" s="1"/>
  <c r="AV14" i="8" s="1"/>
  <c r="L14" i="8" s="1"/>
  <c r="F67" i="4"/>
  <c r="H164" i="5" s="1"/>
  <c r="M255" i="4"/>
  <c r="R195" i="5" s="1"/>
  <c r="Z70" i="4"/>
  <c r="AL172" i="5" s="1"/>
  <c r="R17" i="4"/>
  <c r="Z184" i="5" s="1"/>
  <c r="AK204" i="8" s="1"/>
  <c r="AW204" i="8" s="1"/>
  <c r="P115" i="4"/>
  <c r="W161" i="5" s="1"/>
  <c r="AJ184" i="8" s="1"/>
  <c r="AV184" i="8" s="1"/>
  <c r="Z17" i="4"/>
  <c r="AL184" i="5" s="1"/>
  <c r="U79" i="4" a="1"/>
  <c r="U79" i="4" s="1"/>
  <c r="AD131" i="5" s="1"/>
  <c r="Y98" i="4"/>
  <c r="AJ163" i="5" s="1"/>
  <c r="D16" i="4"/>
  <c r="E183" i="5" s="1"/>
  <c r="AD16" i="8" s="1"/>
  <c r="S189" i="4"/>
  <c r="AA167" i="5" s="1"/>
  <c r="Z117" i="4"/>
  <c r="AL232" i="5" s="1"/>
  <c r="Z165" i="4"/>
  <c r="AL245" i="5" s="1"/>
  <c r="U153" i="4" a="1"/>
  <c r="U153" i="4" s="1"/>
  <c r="AD206" i="5" s="1"/>
  <c r="C254" i="4"/>
  <c r="C194" i="5" s="1"/>
  <c r="X131" i="4"/>
  <c r="AI199" i="5" s="1"/>
  <c r="AN218" i="8" s="1"/>
  <c r="AZ218" i="8" s="1"/>
  <c r="P218" i="8" s="1"/>
  <c r="U245" i="4" a="1"/>
  <c r="U245" i="4" s="1"/>
  <c r="AD229" i="5" s="1"/>
  <c r="Y85" i="4"/>
  <c r="AJ224" i="5" s="1"/>
  <c r="T254" i="4" a="1"/>
  <c r="T254" i="4" s="1"/>
  <c r="AC194" i="5" s="1"/>
  <c r="AL213" i="8" s="1"/>
  <c r="L231" i="4"/>
  <c r="Q221" i="5" s="1"/>
  <c r="AH234" i="8" s="1"/>
  <c r="AT234" i="8" s="1"/>
  <c r="J234" i="8" s="1"/>
  <c r="Y218" i="4"/>
  <c r="AJ242" i="5" s="1"/>
  <c r="D162" i="4"/>
  <c r="E237" i="5" s="1"/>
  <c r="T216" i="4" a="1"/>
  <c r="T216" i="4" s="1"/>
  <c r="AC223" i="5" s="1"/>
  <c r="AL236" i="8" s="1"/>
  <c r="AX236" i="8" s="1"/>
  <c r="N236" i="8" s="1"/>
  <c r="U10" i="4" a="1"/>
  <c r="U10" i="4" s="1"/>
  <c r="AD254" i="5" s="1"/>
  <c r="AX220" i="5"/>
  <c r="AA233" i="8"/>
  <c r="Y95" i="4"/>
  <c r="AJ273" i="5" s="1"/>
  <c r="U195" i="4" a="1"/>
  <c r="U195" i="4" s="1"/>
  <c r="AD228" i="5" s="1"/>
  <c r="U155" i="4" a="1"/>
  <c r="U155" i="4" s="1"/>
  <c r="AD209" i="5" s="1"/>
  <c r="D204" i="4"/>
  <c r="E251" i="5" s="1"/>
  <c r="Q176" i="4"/>
  <c r="X267" i="5" s="1"/>
  <c r="U41" i="4" a="1"/>
  <c r="U41" i="4" s="1"/>
  <c r="AD279" i="5" s="1"/>
  <c r="U159" i="4" a="1"/>
  <c r="U159" i="4" s="1"/>
  <c r="AD215" i="5" s="1"/>
  <c r="T152" i="4" a="1"/>
  <c r="T152" i="4" s="1"/>
  <c r="AC205" i="5" s="1"/>
  <c r="AL21" i="8" s="1"/>
  <c r="R281" i="4"/>
  <c r="Z292" i="5" s="1"/>
  <c r="AK299" i="8" s="1"/>
  <c r="Y235" i="4"/>
  <c r="AJ253" i="5" s="1"/>
  <c r="D179" i="4"/>
  <c r="E261" i="5" s="1"/>
  <c r="Z27" i="4"/>
  <c r="AL264" i="5" s="1"/>
  <c r="U279" i="4" a="1"/>
  <c r="U279" i="4" s="1"/>
  <c r="AD286" i="5" s="1"/>
  <c r="T165" i="4" a="1"/>
  <c r="T165" i="4" s="1"/>
  <c r="AC245" i="5" s="1"/>
  <c r="AL256" i="8" s="1"/>
  <c r="AX256" i="8" s="1"/>
  <c r="N256" i="8" s="1"/>
  <c r="Q334" i="4"/>
  <c r="X322" i="5" s="1"/>
  <c r="D334" i="4"/>
  <c r="E322" i="5" s="1"/>
  <c r="Y338" i="4"/>
  <c r="AJ332" i="5" s="1"/>
  <c r="O338" i="4"/>
  <c r="U332" i="5" s="1"/>
  <c r="N344" i="4"/>
  <c r="T338" i="5" s="1"/>
  <c r="AI338" i="8" s="1"/>
  <c r="AU338" i="8" s="1"/>
  <c r="Y344" i="4"/>
  <c r="AJ338" i="5" s="1"/>
  <c r="N322" i="4"/>
  <c r="T325" i="5" s="1"/>
  <c r="AI30" i="8" s="1"/>
  <c r="T270" i="4" a="1"/>
  <c r="T270" i="4" s="1"/>
  <c r="AC291" i="5" s="1"/>
  <c r="AL298" i="8" s="1"/>
  <c r="J346" i="4"/>
  <c r="N340" i="5" s="1"/>
  <c r="Q321" i="4"/>
  <c r="X324" i="5" s="1"/>
  <c r="S360" i="4"/>
  <c r="AA364" i="5" s="1"/>
  <c r="H381" i="4"/>
  <c r="K381" i="5" s="1"/>
  <c r="AF377" i="8" s="1"/>
  <c r="AR377" i="8" s="1"/>
  <c r="H377" i="8" s="1"/>
  <c r="W373" i="4"/>
  <c r="AG357" i="5" s="1"/>
  <c r="Z379" i="4"/>
  <c r="AL379" i="5" s="1"/>
  <c r="K374" i="4"/>
  <c r="O374" i="5" s="1"/>
  <c r="AW287" i="8"/>
  <c r="M119" i="4"/>
  <c r="R241" i="5" s="1"/>
  <c r="M217" i="4"/>
  <c r="R227" i="5" s="1"/>
  <c r="AC49" i="2"/>
  <c r="AP307" i="5"/>
  <c r="AD309" i="8"/>
  <c r="AP309" i="8" s="1"/>
  <c r="F309" i="8" s="1"/>
  <c r="C96" i="4"/>
  <c r="C122" i="5" s="1"/>
  <c r="C274" i="4"/>
  <c r="C288" i="5" s="1"/>
  <c r="R295" i="8" s="1"/>
  <c r="C281" i="4"/>
  <c r="C292" i="5" s="1"/>
  <c r="C270" i="4"/>
  <c r="C291" i="5" s="1"/>
  <c r="R298" i="8" s="1"/>
  <c r="C280" i="4"/>
  <c r="C290" i="5" s="1"/>
  <c r="R297" i="8" s="1"/>
  <c r="R379" i="4"/>
  <c r="R375" i="4"/>
  <c r="R378" i="4"/>
  <c r="R380" i="4"/>
  <c r="R374" i="4"/>
  <c r="R382" i="4"/>
  <c r="R381" i="4"/>
  <c r="R376" i="4"/>
  <c r="R383" i="4"/>
  <c r="R377" i="4"/>
  <c r="L311" i="4"/>
  <c r="Q310" i="5" s="1"/>
  <c r="AH312" i="8" s="1"/>
  <c r="AT312" i="8" s="1"/>
  <c r="J312" i="8" s="1"/>
  <c r="L324" i="4"/>
  <c r="Q327" i="5" s="1"/>
  <c r="AH328" i="8" s="1"/>
  <c r="AT328" i="8" s="1"/>
  <c r="J328" i="8" s="1"/>
  <c r="L330" i="4"/>
  <c r="Q347" i="5" s="1"/>
  <c r="AH347" i="8" s="1"/>
  <c r="AT347" i="8" s="1"/>
  <c r="J347" i="8" s="1"/>
  <c r="E8" i="13"/>
  <c r="AX307" i="5"/>
  <c r="AA309" i="8"/>
  <c r="BA307" i="5"/>
  <c r="AO309" i="8"/>
  <c r="BA309" i="8" s="1"/>
  <c r="P305" i="4"/>
  <c r="W314" i="5" s="1"/>
  <c r="AJ316" i="8" s="1"/>
  <c r="P306" i="4"/>
  <c r="W315" i="5" s="1"/>
  <c r="AJ317" i="8" s="1"/>
  <c r="P323" i="4"/>
  <c r="W326" i="5" s="1"/>
  <c r="AJ327" i="8" s="1"/>
  <c r="P351" i="4"/>
  <c r="W341" i="5" s="1"/>
  <c r="AJ341" i="8" s="1"/>
  <c r="P343" i="4"/>
  <c r="W330" i="5" s="1"/>
  <c r="AJ331" i="8" s="1"/>
  <c r="P350" i="4"/>
  <c r="W339" i="5" s="1"/>
  <c r="AJ339" i="8" s="1"/>
  <c r="P344" i="4"/>
  <c r="W338" i="5" s="1"/>
  <c r="AJ338" i="8" s="1"/>
  <c r="AV338" i="8" s="1"/>
  <c r="Z23" i="4"/>
  <c r="AL13" i="5" s="1"/>
  <c r="Z53" i="4"/>
  <c r="AL43" i="5" s="1"/>
  <c r="Z298" i="4"/>
  <c r="AL124" i="5" s="1"/>
  <c r="Z56" i="4"/>
  <c r="AL116" i="5" s="1"/>
  <c r="P180" i="4"/>
  <c r="W87" i="5" s="1"/>
  <c r="AJ116" i="8" s="1"/>
  <c r="P224" i="4"/>
  <c r="W169" i="5" s="1"/>
  <c r="AJ192" i="8" s="1"/>
  <c r="M190" i="4"/>
  <c r="R281" i="5" s="1"/>
  <c r="M129" i="4"/>
  <c r="R283" i="5" s="1"/>
  <c r="M191" i="4"/>
  <c r="R282" i="5" s="1"/>
  <c r="E71" i="4"/>
  <c r="E73" i="4"/>
  <c r="E222" i="4"/>
  <c r="E180" i="4"/>
  <c r="F87" i="5" s="1"/>
  <c r="E224" i="4"/>
  <c r="F149" i="4"/>
  <c r="F146" i="4"/>
  <c r="F192" i="4"/>
  <c r="F117" i="4"/>
  <c r="AF381" i="8"/>
  <c r="AR381" i="8" s="1"/>
  <c r="H381" i="8" s="1"/>
  <c r="AI52" i="2"/>
  <c r="AG52" i="2"/>
  <c r="E72" i="4"/>
  <c r="E204" i="4"/>
  <c r="F337" i="4"/>
  <c r="F346" i="4"/>
  <c r="F333" i="4"/>
  <c r="F318" i="4"/>
  <c r="F326" i="4"/>
  <c r="F327" i="4"/>
  <c r="F328" i="4"/>
  <c r="R18" i="4"/>
  <c r="Z185" i="5" s="1"/>
  <c r="AK205" i="8" s="1"/>
  <c r="R24" i="4"/>
  <c r="Z182" i="5" s="1"/>
  <c r="AK203" i="8" s="1"/>
  <c r="R14" i="4"/>
  <c r="Z180" i="5" s="1"/>
  <c r="AK15" i="8" s="1"/>
  <c r="R302" i="4"/>
  <c r="R174" i="4"/>
  <c r="R173" i="4"/>
  <c r="R222" i="4"/>
  <c r="R73" i="4"/>
  <c r="R99" i="4"/>
  <c r="R71" i="4"/>
  <c r="AW87" i="5"/>
  <c r="Z116" i="8"/>
  <c r="O188" i="4"/>
  <c r="U152" i="5" s="1"/>
  <c r="O149" i="4"/>
  <c r="U201" i="5" s="1"/>
  <c r="O117" i="4"/>
  <c r="U232" i="5" s="1"/>
  <c r="AK53" i="2"/>
  <c r="AS386" i="5"/>
  <c r="I305" i="4"/>
  <c r="L314" i="5" s="1"/>
  <c r="I306" i="4"/>
  <c r="L315" i="5" s="1"/>
  <c r="I323" i="4"/>
  <c r="L326" i="5" s="1"/>
  <c r="I351" i="4"/>
  <c r="L341" i="5" s="1"/>
  <c r="I343" i="4"/>
  <c r="L330" i="5" s="1"/>
  <c r="I350" i="4"/>
  <c r="L339" i="5" s="1"/>
  <c r="I344" i="4"/>
  <c r="L338" i="5" s="1"/>
  <c r="Q23" i="4"/>
  <c r="X13" i="5" s="1"/>
  <c r="Q53" i="4"/>
  <c r="X43" i="5" s="1"/>
  <c r="Q298" i="4"/>
  <c r="X124" i="5" s="1"/>
  <c r="Q412" i="4"/>
  <c r="X402" i="5" s="1"/>
  <c r="Q56" i="4"/>
  <c r="R415" i="4"/>
  <c r="Z409" i="5" s="1"/>
  <c r="R65" i="4"/>
  <c r="R198" i="4"/>
  <c r="R143" i="4"/>
  <c r="R197" i="4"/>
  <c r="R162" i="4"/>
  <c r="R189" i="4"/>
  <c r="R93" i="4"/>
  <c r="R227" i="4"/>
  <c r="R145" i="4"/>
  <c r="R118" i="4"/>
  <c r="R139" i="4"/>
  <c r="R92" i="4"/>
  <c r="R98" i="4"/>
  <c r="R100" i="4"/>
  <c r="AU381" i="8"/>
  <c r="D302" i="4"/>
  <c r="E77" i="5" s="1"/>
  <c r="D174" i="4"/>
  <c r="E79" i="5" s="1"/>
  <c r="D24" i="4"/>
  <c r="E182" i="5" s="1"/>
  <c r="D14" i="4"/>
  <c r="E180" i="5" s="1"/>
  <c r="D18" i="4"/>
  <c r="E185" i="5" s="1"/>
  <c r="AD205" i="8" s="1"/>
  <c r="AP205" i="8" s="1"/>
  <c r="F205" i="8" s="1"/>
  <c r="S191" i="4"/>
  <c r="AA282" i="5" s="1"/>
  <c r="S129" i="4"/>
  <c r="AA283" i="5" s="1"/>
  <c r="AY385" i="5"/>
  <c r="AN385" i="5"/>
  <c r="V372" i="4"/>
  <c r="AF356" i="5" s="1"/>
  <c r="AM355" i="8" s="1"/>
  <c r="V352" i="4"/>
  <c r="AF358" i="5" s="1"/>
  <c r="AM357" i="8" s="1"/>
  <c r="V357" i="4"/>
  <c r="AF361" i="5" s="1"/>
  <c r="AM360" i="8" s="1"/>
  <c r="V363" i="4"/>
  <c r="AF372" i="5" s="1"/>
  <c r="AM369" i="8" s="1"/>
  <c r="V362" i="4"/>
  <c r="AF373" i="5" s="1"/>
  <c r="AM370" i="8" s="1"/>
  <c r="V364" i="4"/>
  <c r="AF359" i="5" s="1"/>
  <c r="AM358" i="8" s="1"/>
  <c r="V361" i="4"/>
  <c r="AF371" i="5" s="1"/>
  <c r="AM368" i="8" s="1"/>
  <c r="V353" i="4"/>
  <c r="AF360" i="5" s="1"/>
  <c r="AM359" i="8" s="1"/>
  <c r="BH94" i="2"/>
  <c r="BH93" i="2"/>
  <c r="V373" i="4"/>
  <c r="AF357" i="5" s="1"/>
  <c r="AM356" i="8" s="1"/>
  <c r="V359" i="4"/>
  <c r="AF363" i="5" s="1"/>
  <c r="AM361" i="8" s="1"/>
  <c r="V355" i="4"/>
  <c r="AF362" i="5" s="1"/>
  <c r="AM33" i="8" s="1"/>
  <c r="V371" i="4"/>
  <c r="AF355" i="5" s="1"/>
  <c r="AM354" i="8" s="1"/>
  <c r="AY354" i="8" s="1"/>
  <c r="S141" i="4"/>
  <c r="AA123" i="5" s="1"/>
  <c r="S144" i="4"/>
  <c r="AA155" i="5" s="1"/>
  <c r="S159" i="4"/>
  <c r="AA215" i="5" s="1"/>
  <c r="S160" i="4"/>
  <c r="AA216" i="5" s="1"/>
  <c r="S161" i="4"/>
  <c r="AA217" i="5" s="1"/>
  <c r="AB197" i="8"/>
  <c r="AY175" i="5"/>
  <c r="P277" i="4"/>
  <c r="W301" i="5" s="1"/>
  <c r="P169" i="4"/>
  <c r="W54" i="5" s="1"/>
  <c r="AJ83" i="8" s="1"/>
  <c r="P90" i="4"/>
  <c r="W82" i="5" s="1"/>
  <c r="AJ111" i="8" s="1"/>
  <c r="P91" i="4"/>
  <c r="W92" i="5" s="1"/>
  <c r="AJ121" i="8" s="1"/>
  <c r="AV121" i="8" s="1"/>
  <c r="L121" i="8" s="1"/>
  <c r="Z237" i="4"/>
  <c r="AL104" i="5" s="1"/>
  <c r="Z242" i="4"/>
  <c r="AL146" i="5" s="1"/>
  <c r="Z228" i="4"/>
  <c r="AL218" i="5" s="1"/>
  <c r="BL87" i="2"/>
  <c r="BL88" i="2"/>
  <c r="I65" i="4"/>
  <c r="L148" i="5" s="1"/>
  <c r="I189" i="4"/>
  <c r="I162" i="4"/>
  <c r="I93" i="4"/>
  <c r="I100" i="4"/>
  <c r="I197" i="4"/>
  <c r="I198" i="4"/>
  <c r="I143" i="4"/>
  <c r="I92" i="4"/>
  <c r="I145" i="4"/>
  <c r="I118" i="4"/>
  <c r="I139" i="4"/>
  <c r="I227" i="4"/>
  <c r="I98" i="4"/>
  <c r="J303" i="4"/>
  <c r="N303" i="5" s="1"/>
  <c r="J331" i="4"/>
  <c r="N348" i="5" s="1"/>
  <c r="X152" i="4"/>
  <c r="AI205" i="5" s="1"/>
  <c r="AN21" i="8" s="1"/>
  <c r="X151" i="4"/>
  <c r="AI204" i="5" s="1"/>
  <c r="AN20" i="8" s="1"/>
  <c r="AZ20" i="8" s="1"/>
  <c r="Y64" i="4"/>
  <c r="AJ3" i="5" s="1"/>
  <c r="Y196" i="4"/>
  <c r="AJ8" i="5" s="1"/>
  <c r="Y266" i="4"/>
  <c r="AJ7" i="5" s="1"/>
  <c r="Y202" i="4"/>
  <c r="AJ36" i="5" s="1"/>
  <c r="Y238" i="4"/>
  <c r="AJ105" i="5" s="1"/>
  <c r="Y121" i="4"/>
  <c r="AJ113" i="5" s="1"/>
  <c r="Y251" i="4"/>
  <c r="AJ280" i="5" s="1"/>
  <c r="F297" i="4"/>
  <c r="H272" i="5" s="1"/>
  <c r="F411" i="4"/>
  <c r="F111" i="4"/>
  <c r="F405" i="4"/>
  <c r="P194" i="4"/>
  <c r="W27" i="5" s="1"/>
  <c r="AJ60" i="8" s="1"/>
  <c r="P122" i="4"/>
  <c r="W141" i="5" s="1"/>
  <c r="AJ166" i="8" s="1"/>
  <c r="P123" i="4"/>
  <c r="W145" i="5" s="1"/>
  <c r="AJ170" i="8" s="1"/>
  <c r="AV170" i="8" s="1"/>
  <c r="P131" i="4"/>
  <c r="W199" i="5" s="1"/>
  <c r="AJ218" i="8" s="1"/>
  <c r="P246" i="4"/>
  <c r="W230" i="5" s="1"/>
  <c r="AJ242" i="8" s="1"/>
  <c r="AV242" i="8" s="1"/>
  <c r="L242" i="8" s="1"/>
  <c r="AS87" i="2"/>
  <c r="AS88" i="2"/>
  <c r="E294" i="4"/>
  <c r="F144" i="5" s="1"/>
  <c r="E264" i="4"/>
  <c r="F198" i="5" s="1"/>
  <c r="E254" i="4"/>
  <c r="E226" i="4"/>
  <c r="E301" i="4"/>
  <c r="E255" i="4"/>
  <c r="C66" i="4"/>
  <c r="C277" i="5" s="1"/>
  <c r="C12" i="4"/>
  <c r="C263" i="5" s="1"/>
  <c r="R272" i="8" s="1"/>
  <c r="L317" i="4"/>
  <c r="Q305" i="5" s="1"/>
  <c r="AH307" i="8" s="1"/>
  <c r="AT307" i="8" s="1"/>
  <c r="J307" i="8" s="1"/>
  <c r="L320" i="4"/>
  <c r="Q320" i="5" s="1"/>
  <c r="AH322" i="8" s="1"/>
  <c r="AT322" i="8" s="1"/>
  <c r="J322" i="8" s="1"/>
  <c r="L322" i="4"/>
  <c r="Q325" i="5" s="1"/>
  <c r="AH30" i="8" s="1"/>
  <c r="AT30" i="8" s="1"/>
  <c r="J30" i="8" s="1"/>
  <c r="L319" i="4"/>
  <c r="Q329" i="5" s="1"/>
  <c r="AH330" i="8" s="1"/>
  <c r="AT330" i="8" s="1"/>
  <c r="J330" i="8" s="1"/>
  <c r="L348" i="4"/>
  <c r="Q351" i="5" s="1"/>
  <c r="AH32" i="8" s="1"/>
  <c r="AT32" i="8" s="1"/>
  <c r="J32" i="8" s="1"/>
  <c r="L334" i="4"/>
  <c r="Q322" i="5" s="1"/>
  <c r="AH324" i="8" s="1"/>
  <c r="AT324" i="8" s="1"/>
  <c r="J324" i="8" s="1"/>
  <c r="L335" i="4"/>
  <c r="Q323" i="5" s="1"/>
  <c r="AH325" i="8" s="1"/>
  <c r="AT325" i="8" s="1"/>
  <c r="J325" i="8" s="1"/>
  <c r="L329" i="4"/>
  <c r="Q345" i="5" s="1"/>
  <c r="AH345" i="8" s="1"/>
  <c r="AT345" i="8" s="1"/>
  <c r="J345" i="8" s="1"/>
  <c r="AY52" i="5"/>
  <c r="AB81" i="8"/>
  <c r="R393" i="4"/>
  <c r="Z392" i="5" s="1"/>
  <c r="R409" i="4"/>
  <c r="Z403" i="5" s="1"/>
  <c r="R218" i="4"/>
  <c r="R414" i="4"/>
  <c r="Z415" i="5" s="1"/>
  <c r="R401" i="4"/>
  <c r="Z408" i="5" s="1"/>
  <c r="R109" i="4"/>
  <c r="R185" i="4"/>
  <c r="R413" i="4"/>
  <c r="Z414" i="5" s="1"/>
  <c r="R398" i="4"/>
  <c r="Z405" i="5" s="1"/>
  <c r="R10" i="4"/>
  <c r="R38" i="4"/>
  <c r="R187" i="4"/>
  <c r="R200" i="4"/>
  <c r="R125" i="4"/>
  <c r="R55" i="4"/>
  <c r="R60" i="4"/>
  <c r="O210" i="4"/>
  <c r="U21" i="5" s="1"/>
  <c r="O212" i="4"/>
  <c r="U23" i="5" s="1"/>
  <c r="O148" i="4"/>
  <c r="U200" i="5" s="1"/>
  <c r="O147" i="4"/>
  <c r="U293" i="5" s="1"/>
  <c r="J275" i="4"/>
  <c r="N300" i="5" s="1"/>
  <c r="AS300" i="5" s="1"/>
  <c r="J68" i="4"/>
  <c r="N165" i="5" s="1"/>
  <c r="J289" i="4"/>
  <c r="J273" i="4"/>
  <c r="J62" i="4"/>
  <c r="J75" i="4"/>
  <c r="D42" i="4"/>
  <c r="E16" i="5" s="1"/>
  <c r="D44" i="4"/>
  <c r="E18" i="5" s="1"/>
  <c r="D43" i="4"/>
  <c r="E17" i="5" s="1"/>
  <c r="D32" i="4"/>
  <c r="E129" i="5" s="1"/>
  <c r="AD154" i="8" s="1"/>
  <c r="D33" i="4"/>
  <c r="E137" i="5" s="1"/>
  <c r="D6" i="4"/>
  <c r="E175" i="5" s="1"/>
  <c r="D8" i="4"/>
  <c r="E177" i="5" s="1"/>
  <c r="D30" i="4"/>
  <c r="E275" i="5" s="1"/>
  <c r="D260" i="4"/>
  <c r="E46" i="5" s="1"/>
  <c r="D170" i="4"/>
  <c r="E68" i="5" s="1"/>
  <c r="D172" i="4"/>
  <c r="E70" i="5" s="1"/>
  <c r="D295" i="4"/>
  <c r="E98" i="5" s="1"/>
  <c r="D126" i="4"/>
  <c r="E162" i="5" s="1"/>
  <c r="D41" i="4"/>
  <c r="E279" i="5" s="1"/>
  <c r="L277" i="4"/>
  <c r="Q301" i="5" s="1"/>
  <c r="L90" i="4"/>
  <c r="Q82" i="5" s="1"/>
  <c r="AH111" i="8" s="1"/>
  <c r="AT111" i="8" s="1"/>
  <c r="J111" i="8" s="1"/>
  <c r="L169" i="4"/>
  <c r="Q54" i="5" s="1"/>
  <c r="AH83" i="8" s="1"/>
  <c r="AT83" i="8" s="1"/>
  <c r="J83" i="8" s="1"/>
  <c r="L91" i="4"/>
  <c r="Q92" i="5" s="1"/>
  <c r="AH121" i="8" s="1"/>
  <c r="AT121" i="8" s="1"/>
  <c r="J121" i="8" s="1"/>
  <c r="Y220" i="8"/>
  <c r="AV202" i="5"/>
  <c r="X220" i="4"/>
  <c r="AI9" i="5" s="1"/>
  <c r="AN45" i="8" s="1"/>
  <c r="AZ45" i="8" s="1"/>
  <c r="P45" i="8" s="1"/>
  <c r="X208" i="4"/>
  <c r="AI75" i="5" s="1"/>
  <c r="AN104" i="8" s="1"/>
  <c r="AZ104" i="8" s="1"/>
  <c r="P104" i="8" s="1"/>
  <c r="X36" i="4"/>
  <c r="AI42" i="5" s="1"/>
  <c r="AN73" i="8" s="1"/>
  <c r="AZ73" i="8" s="1"/>
  <c r="P73" i="8" s="1"/>
  <c r="X50" i="4"/>
  <c r="AI38" i="5" s="1"/>
  <c r="AN69" i="8" s="1"/>
  <c r="AZ69" i="8" s="1"/>
  <c r="P69" i="8" s="1"/>
  <c r="X52" i="4"/>
  <c r="AI40" i="5" s="1"/>
  <c r="AN71" i="8" s="1"/>
  <c r="AZ71" i="8" s="1"/>
  <c r="P71" i="8" s="1"/>
  <c r="X26" i="4"/>
  <c r="AI49" i="5" s="1"/>
  <c r="AN7" i="8" s="1"/>
  <c r="AZ7" i="8" s="1"/>
  <c r="P7" i="8" s="1"/>
  <c r="X54" i="4"/>
  <c r="AI47" i="5" s="1"/>
  <c r="AN78" i="8" s="1"/>
  <c r="AZ78" i="8" s="1"/>
  <c r="P78" i="8" s="1"/>
  <c r="X58" i="4"/>
  <c r="AI41" i="5" s="1"/>
  <c r="AN72" i="8" s="1"/>
  <c r="AZ72" i="8" s="1"/>
  <c r="P72" i="8" s="1"/>
  <c r="X165" i="4"/>
  <c r="AI245" i="5" s="1"/>
  <c r="AN256" i="8" s="1"/>
  <c r="AZ256" i="8" s="1"/>
  <c r="P256" i="8" s="1"/>
  <c r="X168" i="4"/>
  <c r="AI248" i="5" s="1"/>
  <c r="AN25" i="8" s="1"/>
  <c r="AZ25" i="8" s="1"/>
  <c r="P25" i="8" s="1"/>
  <c r="X166" i="4"/>
  <c r="AI246" i="5" s="1"/>
  <c r="AN257" i="8" s="1"/>
  <c r="AZ257" i="8" s="1"/>
  <c r="P257" i="8" s="1"/>
  <c r="X402" i="4"/>
  <c r="AI412" i="5" s="1"/>
  <c r="AN403" i="8" s="1"/>
  <c r="AZ403" i="8" s="1"/>
  <c r="P403" i="8" s="1"/>
  <c r="X3" i="4"/>
  <c r="X124" i="4"/>
  <c r="E237" i="4"/>
  <c r="F104" i="5" s="1"/>
  <c r="E228" i="4"/>
  <c r="AQ87" i="2"/>
  <c r="AQ88" i="2"/>
  <c r="R177" i="4"/>
  <c r="R178" i="4"/>
  <c r="R76" i="4"/>
  <c r="R136" i="4"/>
  <c r="R235" i="4"/>
  <c r="R175" i="4"/>
  <c r="R138" i="4"/>
  <c r="R101" i="4"/>
  <c r="R25" i="4"/>
  <c r="R105" i="4"/>
  <c r="R57" i="4"/>
  <c r="R106" i="4"/>
  <c r="N246" i="4"/>
  <c r="T230" i="5" s="1"/>
  <c r="N122" i="4"/>
  <c r="T141" i="5" s="1"/>
  <c r="AI166" i="8" s="1"/>
  <c r="M141" i="4"/>
  <c r="R123" i="5" s="1"/>
  <c r="M161" i="4"/>
  <c r="R217" i="5" s="1"/>
  <c r="M159" i="4"/>
  <c r="R215" i="5" s="1"/>
  <c r="M95" i="4"/>
  <c r="R273" i="5" s="1"/>
  <c r="M152" i="4"/>
  <c r="R205" i="5" s="1"/>
  <c r="M151" i="4"/>
  <c r="R204" i="5" s="1"/>
  <c r="Y84" i="8"/>
  <c r="AV55" i="5"/>
  <c r="AC222" i="8"/>
  <c r="AZ207" i="5"/>
  <c r="L42" i="4"/>
  <c r="Q16" i="5" s="1"/>
  <c r="AH51" i="8" s="1"/>
  <c r="AT51" i="8" s="1"/>
  <c r="J51" i="8" s="1"/>
  <c r="L44" i="4"/>
  <c r="Q18" i="5" s="1"/>
  <c r="AH53" i="8" s="1"/>
  <c r="AT53" i="8" s="1"/>
  <c r="J53" i="8" s="1"/>
  <c r="L43" i="4"/>
  <c r="Q17" i="5" s="1"/>
  <c r="AH52" i="8" s="1"/>
  <c r="AT52" i="8" s="1"/>
  <c r="J52" i="8" s="1"/>
  <c r="L33" i="4"/>
  <c r="Q137" i="5" s="1"/>
  <c r="L32" i="4"/>
  <c r="Q129" i="5" s="1"/>
  <c r="L8" i="4"/>
  <c r="Q177" i="5" s="1"/>
  <c r="AH199" i="8" s="1"/>
  <c r="AT199" i="8" s="1"/>
  <c r="J199" i="8" s="1"/>
  <c r="L6" i="4"/>
  <c r="Q175" i="5" s="1"/>
  <c r="L30" i="4"/>
  <c r="Q275" i="5" s="1"/>
  <c r="AH283" i="8" s="1"/>
  <c r="AT283" i="8" s="1"/>
  <c r="J283" i="8" s="1"/>
  <c r="L260" i="4"/>
  <c r="Q46" i="5" s="1"/>
  <c r="AH77" i="8" s="1"/>
  <c r="AT77" i="8" s="1"/>
  <c r="J77" i="8" s="1"/>
  <c r="L39" i="4"/>
  <c r="Q64" i="5" s="1"/>
  <c r="AH93" i="8" s="1"/>
  <c r="AT93" i="8" s="1"/>
  <c r="J93" i="8" s="1"/>
  <c r="L172" i="4"/>
  <c r="Q70" i="5" s="1"/>
  <c r="AH99" i="8" s="1"/>
  <c r="AT99" i="8" s="1"/>
  <c r="J99" i="8" s="1"/>
  <c r="L37" i="4"/>
  <c r="Q62" i="5" s="1"/>
  <c r="AH91" i="8" s="1"/>
  <c r="AT91" i="8" s="1"/>
  <c r="J91" i="8" s="1"/>
  <c r="L170" i="4"/>
  <c r="Q68" i="5" s="1"/>
  <c r="AH97" i="8" s="1"/>
  <c r="AT97" i="8" s="1"/>
  <c r="J97" i="8" s="1"/>
  <c r="L261" i="4"/>
  <c r="Q96" i="5" s="1"/>
  <c r="AH125" i="8" s="1"/>
  <c r="AT125" i="8" s="1"/>
  <c r="J125" i="8" s="1"/>
  <c r="L126" i="4"/>
  <c r="Q162" i="5" s="1"/>
  <c r="AH185" i="8" s="1"/>
  <c r="AT185" i="8" s="1"/>
  <c r="J185" i="8" s="1"/>
  <c r="L199" i="4"/>
  <c r="Q243" i="5" s="1"/>
  <c r="AH254" i="8" s="1"/>
  <c r="AT254" i="8" s="1"/>
  <c r="J254" i="8" s="1"/>
  <c r="L41" i="4"/>
  <c r="Q279" i="5" s="1"/>
  <c r="AH28" i="8" s="1"/>
  <c r="AT28" i="8" s="1"/>
  <c r="J28" i="8" s="1"/>
  <c r="X277" i="4"/>
  <c r="AI301" i="5" s="1"/>
  <c r="X169" i="4"/>
  <c r="AI54" i="5" s="1"/>
  <c r="AN83" i="8" s="1"/>
  <c r="AZ83" i="8" s="1"/>
  <c r="P83" i="8" s="1"/>
  <c r="X91" i="4"/>
  <c r="AI92" i="5" s="1"/>
  <c r="AN121" i="8" s="1"/>
  <c r="AZ121" i="8" s="1"/>
  <c r="P121" i="8" s="1"/>
  <c r="X90" i="4"/>
  <c r="AI82" i="5" s="1"/>
  <c r="AN111" i="8" s="1"/>
  <c r="AZ111" i="8" s="1"/>
  <c r="P111" i="8" s="1"/>
  <c r="L69" i="4"/>
  <c r="Q170" i="5" s="1"/>
  <c r="AH193" i="8" s="1"/>
  <c r="AT193" i="8" s="1"/>
  <c r="J193" i="8" s="1"/>
  <c r="L116" i="4"/>
  <c r="Q256" i="5" s="1"/>
  <c r="AH265" i="8" s="1"/>
  <c r="AT265" i="8" s="1"/>
  <c r="J265" i="8" s="1"/>
  <c r="L410" i="4"/>
  <c r="Q404" i="5" s="1"/>
  <c r="L392" i="4"/>
  <c r="Q413" i="5" s="1"/>
  <c r="L275" i="4"/>
  <c r="Q300" i="5" s="1"/>
  <c r="L273" i="4"/>
  <c r="Q51" i="5" s="1"/>
  <c r="AH80" i="8" s="1"/>
  <c r="AT80" i="8" s="1"/>
  <c r="J80" i="8" s="1"/>
  <c r="L289" i="4"/>
  <c r="Q52" i="5" s="1"/>
  <c r="AH81" i="8" s="1"/>
  <c r="AT81" i="8" s="1"/>
  <c r="J81" i="8" s="1"/>
  <c r="L62" i="4"/>
  <c r="Q109" i="5" s="1"/>
  <c r="AH138" i="8" s="1"/>
  <c r="AT138" i="8" s="1"/>
  <c r="J138" i="8" s="1"/>
  <c r="L75" i="4"/>
  <c r="Q250" i="5" s="1"/>
  <c r="AH260" i="8" s="1"/>
  <c r="AT260" i="8" s="1"/>
  <c r="J260" i="8" s="1"/>
  <c r="P4" i="4"/>
  <c r="W174" i="5" s="1"/>
  <c r="AJ196" i="8" s="1"/>
  <c r="AV196" i="8" s="1"/>
  <c r="L196" i="8" s="1"/>
  <c r="P179" i="4"/>
  <c r="W261" i="5" s="1"/>
  <c r="AJ270" i="8" s="1"/>
  <c r="P102" i="4"/>
  <c r="W266" i="5" s="1"/>
  <c r="AJ274" i="8" s="1"/>
  <c r="AV274" i="8" s="1"/>
  <c r="L274" i="8" s="1"/>
  <c r="P61" i="4"/>
  <c r="W262" i="5" s="1"/>
  <c r="AJ271" i="8" s="1"/>
  <c r="AV271" i="8" s="1"/>
  <c r="L271" i="8" s="1"/>
  <c r="BB85" i="2"/>
  <c r="BB84" i="2"/>
  <c r="AV222" i="8"/>
  <c r="X106" i="4"/>
  <c r="AI58" i="5" s="1"/>
  <c r="AN87" i="8" s="1"/>
  <c r="AZ87" i="8" s="1"/>
  <c r="P87" i="8" s="1"/>
  <c r="X105" i="4"/>
  <c r="AI57" i="5" s="1"/>
  <c r="AN86" i="8" s="1"/>
  <c r="AZ86" i="8" s="1"/>
  <c r="P86" i="8" s="1"/>
  <c r="F277" i="4"/>
  <c r="F169" i="4"/>
  <c r="F90" i="4"/>
  <c r="F91" i="4"/>
  <c r="E201" i="4"/>
  <c r="E153" i="4"/>
  <c r="R2" i="4"/>
  <c r="R20" i="4"/>
  <c r="Z187" i="5" s="1"/>
  <c r="AK207" i="8" s="1"/>
  <c r="R29" i="4"/>
  <c r="R256" i="4"/>
  <c r="R229" i="4"/>
  <c r="R250" i="4"/>
  <c r="R244" i="4"/>
  <c r="R230" i="4"/>
  <c r="O214" i="4"/>
  <c r="U25" i="5" s="1"/>
  <c r="O211" i="4"/>
  <c r="U22" i="5" s="1"/>
  <c r="O213" i="4"/>
  <c r="U24" i="5" s="1"/>
  <c r="O215" i="4"/>
  <c r="U26" i="5" s="1"/>
  <c r="AZ220" i="8"/>
  <c r="I272" i="4"/>
  <c r="I205" i="4"/>
  <c r="I234" i="4"/>
  <c r="AC131" i="8"/>
  <c r="AZ102" i="5"/>
  <c r="Y267" i="4"/>
  <c r="AJ73" i="5" s="1"/>
  <c r="Y142" i="4"/>
  <c r="AJ125" i="5" s="1"/>
  <c r="Y97" i="4"/>
  <c r="AJ130" i="5" s="1"/>
  <c r="Y269" i="4"/>
  <c r="AJ2" i="5" s="1"/>
  <c r="Y234" i="4"/>
  <c r="AJ30" i="5" s="1"/>
  <c r="Y272" i="4"/>
  <c r="AJ50" i="5" s="1"/>
  <c r="Y205" i="4"/>
  <c r="AJ53" i="5" s="1"/>
  <c r="AC75" i="8"/>
  <c r="AZ44" i="5"/>
  <c r="Y4" i="4"/>
  <c r="AJ174" i="5" s="1"/>
  <c r="Y102" i="4"/>
  <c r="AJ266" i="5" s="1"/>
  <c r="Y61" i="4"/>
  <c r="AJ262" i="5" s="1"/>
  <c r="BK84" i="2"/>
  <c r="BK85" i="2"/>
  <c r="I4" i="4"/>
  <c r="L174" i="5" s="1"/>
  <c r="I102" i="4"/>
  <c r="L266" i="5" s="1"/>
  <c r="I61" i="4"/>
  <c r="I179" i="4"/>
  <c r="AU84" i="2"/>
  <c r="AU85" i="2"/>
  <c r="H43" i="4"/>
  <c r="K17" i="5" s="1"/>
  <c r="H8" i="4"/>
  <c r="K177" i="5" s="1"/>
  <c r="H260" i="4"/>
  <c r="K46" i="5" s="1"/>
  <c r="H170" i="4"/>
  <c r="K68" i="5" s="1"/>
  <c r="H172" i="4"/>
  <c r="K70" i="5" s="1"/>
  <c r="H126" i="4"/>
  <c r="K162" i="5" s="1"/>
  <c r="H199" i="4"/>
  <c r="K243" i="5" s="1"/>
  <c r="AF88" i="8"/>
  <c r="AR88" i="8" s="1"/>
  <c r="H88" i="8" s="1"/>
  <c r="AR59" i="5"/>
  <c r="AG10" i="2"/>
  <c r="AF10" i="2"/>
  <c r="AI10" i="2"/>
  <c r="H60" i="4"/>
  <c r="K66" i="5" s="1"/>
  <c r="H55" i="4"/>
  <c r="K67" i="5" s="1"/>
  <c r="H185" i="4"/>
  <c r="K136" i="5" s="1"/>
  <c r="AF161" i="8" s="1"/>
  <c r="AR161" i="8" s="1"/>
  <c r="H161" i="8" s="1"/>
  <c r="H187" i="4"/>
  <c r="K151" i="5" s="1"/>
  <c r="AF175" i="8" s="1"/>
  <c r="AR175" i="8" s="1"/>
  <c r="H175" i="8" s="1"/>
  <c r="H200" i="4"/>
  <c r="K244" i="5" s="1"/>
  <c r="H125" i="4"/>
  <c r="K278" i="5" s="1"/>
  <c r="H218" i="4"/>
  <c r="K242" i="5" s="1"/>
  <c r="S212" i="4"/>
  <c r="AA23" i="5" s="1"/>
  <c r="S148" i="4"/>
  <c r="AA200" i="5" s="1"/>
  <c r="S147" i="4"/>
  <c r="AA293" i="5" s="1"/>
  <c r="S254" i="4"/>
  <c r="AA194" i="5" s="1"/>
  <c r="S226" i="4"/>
  <c r="AA197" i="5" s="1"/>
  <c r="S301" i="4"/>
  <c r="AA189" i="5" s="1"/>
  <c r="S264" i="4"/>
  <c r="AA198" i="5" s="1"/>
  <c r="S255" i="4"/>
  <c r="AA195" i="5" s="1"/>
  <c r="S101" i="4"/>
  <c r="AA35" i="5" s="1"/>
  <c r="S177" i="4"/>
  <c r="AA83" i="5" s="1"/>
  <c r="S136" i="4"/>
  <c r="AA84" i="5" s="1"/>
  <c r="S178" i="4"/>
  <c r="AA85" i="5" s="1"/>
  <c r="S175" i="4"/>
  <c r="AA81" i="5" s="1"/>
  <c r="S207" i="4"/>
  <c r="AA72" i="5" s="1"/>
  <c r="S135" i="4"/>
  <c r="AA74" i="5" s="1"/>
  <c r="S35" i="4"/>
  <c r="AA173" i="5" s="1"/>
  <c r="S259" i="4"/>
  <c r="AA297" i="5" s="1"/>
  <c r="N136" i="4"/>
  <c r="T84" i="5" s="1"/>
  <c r="N177" i="4"/>
  <c r="T83" i="5" s="1"/>
  <c r="AI112" i="8" s="1"/>
  <c r="N178" i="4"/>
  <c r="T85" i="5" s="1"/>
  <c r="AI114" i="8" s="1"/>
  <c r="AU74" i="5"/>
  <c r="AI103" i="8"/>
  <c r="J304" i="4"/>
  <c r="N304" i="5" s="1"/>
  <c r="J340" i="4"/>
  <c r="N331" i="5" s="1"/>
  <c r="J332" i="4"/>
  <c r="N349" i="5" s="1"/>
  <c r="J338" i="4"/>
  <c r="N332" i="5" s="1"/>
  <c r="AL68" i="2"/>
  <c r="AT91" i="5"/>
  <c r="AH120" i="8"/>
  <c r="AT120" i="8" s="1"/>
  <c r="J120" i="8" s="1"/>
  <c r="J225" i="4"/>
  <c r="J203" i="4"/>
  <c r="J239" i="4"/>
  <c r="P77" i="4"/>
  <c r="W119" i="5" s="1"/>
  <c r="AJ147" i="8" s="1"/>
  <c r="P286" i="4"/>
  <c r="W108" i="5" s="1"/>
  <c r="AJ137" i="8" s="1"/>
  <c r="AV137" i="8" s="1"/>
  <c r="L137" i="8" s="1"/>
  <c r="P285" i="4"/>
  <c r="W107" i="5" s="1"/>
  <c r="AJ136" i="8" s="1"/>
  <c r="AV136" i="8" s="1"/>
  <c r="L136" i="8" s="1"/>
  <c r="P241" i="4"/>
  <c r="W128" i="5" s="1"/>
  <c r="AJ153" i="8" s="1"/>
  <c r="AV153" i="8" s="1"/>
  <c r="L153" i="8" s="1"/>
  <c r="P284" i="4"/>
  <c r="W106" i="5" s="1"/>
  <c r="AJ135" i="8" s="1"/>
  <c r="AV135" i="8" s="1"/>
  <c r="L135" i="8" s="1"/>
  <c r="P293" i="4"/>
  <c r="W89" i="5" s="1"/>
  <c r="AJ118" i="8" s="1"/>
  <c r="AV118" i="8" s="1"/>
  <c r="L118" i="8" s="1"/>
  <c r="P13" i="4"/>
  <c r="W142" i="5" s="1"/>
  <c r="AJ167" i="8" s="1"/>
  <c r="AV167" i="8" s="1"/>
  <c r="L167" i="8" s="1"/>
  <c r="P290" i="4"/>
  <c r="W140" i="5" s="1"/>
  <c r="AJ165" i="8" s="1"/>
  <c r="AV165" i="8" s="1"/>
  <c r="L165" i="8" s="1"/>
  <c r="P63" i="4"/>
  <c r="W270" i="5" s="1"/>
  <c r="AJ278" i="8" s="1"/>
  <c r="AV278" i="8" s="1"/>
  <c r="L278" i="8" s="1"/>
  <c r="P391" i="4"/>
  <c r="W387" i="5" s="1"/>
  <c r="Z92" i="4"/>
  <c r="AL111" i="5" s="1"/>
  <c r="Z93" i="4"/>
  <c r="AL112" i="5" s="1"/>
  <c r="Z139" i="4"/>
  <c r="AL110" i="5" s="1"/>
  <c r="Z227" i="4"/>
  <c r="AL203" i="5" s="1"/>
  <c r="Z98" i="4"/>
  <c r="AL163" i="5" s="1"/>
  <c r="Z145" i="4"/>
  <c r="AL178" i="5" s="1"/>
  <c r="Z198" i="4"/>
  <c r="AL235" i="5" s="1"/>
  <c r="Z100" i="4"/>
  <c r="AL238" i="5" s="1"/>
  <c r="Z118" i="4"/>
  <c r="AL236" i="5" s="1"/>
  <c r="E231" i="4"/>
  <c r="F221" i="5" s="1"/>
  <c r="E85" i="4"/>
  <c r="O229" i="4"/>
  <c r="U28" i="5" s="1"/>
  <c r="O250" i="4"/>
  <c r="U103" i="5" s="1"/>
  <c r="O256" i="4"/>
  <c r="U213" i="5" s="1"/>
  <c r="O244" i="4"/>
  <c r="U219" i="5" s="1"/>
  <c r="O230" i="4"/>
  <c r="U220" i="5" s="1"/>
  <c r="O29" i="4"/>
  <c r="U268" i="5" s="1"/>
  <c r="Y276" i="4"/>
  <c r="AJ302" i="5" s="1"/>
  <c r="AZ302" i="5" s="1"/>
  <c r="Y174" i="4"/>
  <c r="AJ79" i="5" s="1"/>
  <c r="Y173" i="4"/>
  <c r="AJ78" i="5" s="1"/>
  <c r="Y302" i="4"/>
  <c r="AJ77" i="5" s="1"/>
  <c r="Y18" i="4"/>
  <c r="AJ185" i="5" s="1"/>
  <c r="Y24" i="4"/>
  <c r="AJ182" i="5" s="1"/>
  <c r="Y14" i="4"/>
  <c r="AJ180" i="5" s="1"/>
  <c r="C195" i="4"/>
  <c r="C228" i="5" s="1"/>
  <c r="C231" i="4"/>
  <c r="C221" i="5" s="1"/>
  <c r="C133" i="4"/>
  <c r="C226" i="5" s="1"/>
  <c r="R239" i="8" s="1"/>
  <c r="C387" i="4"/>
  <c r="AZ210" i="8"/>
  <c r="X318" i="4"/>
  <c r="AI306" i="5" s="1"/>
  <c r="AN308" i="8" s="1"/>
  <c r="AZ308" i="8" s="1"/>
  <c r="P308" i="8" s="1"/>
  <c r="X333" i="4"/>
  <c r="AI350" i="5" s="1"/>
  <c r="AN350" i="8" s="1"/>
  <c r="AZ350" i="8" s="1"/>
  <c r="P350" i="8" s="1"/>
  <c r="X337" i="4"/>
  <c r="AI321" i="5" s="1"/>
  <c r="AN323" i="8" s="1"/>
  <c r="AZ323" i="8" s="1"/>
  <c r="P323" i="8" s="1"/>
  <c r="X326" i="4"/>
  <c r="AI342" i="5" s="1"/>
  <c r="AN342" i="8" s="1"/>
  <c r="AZ342" i="8" s="1"/>
  <c r="P342" i="8" s="1"/>
  <c r="X327" i="4"/>
  <c r="AI343" i="5" s="1"/>
  <c r="AN343" i="8" s="1"/>
  <c r="AZ343" i="8" s="1"/>
  <c r="P343" i="8" s="1"/>
  <c r="L246" i="4"/>
  <c r="Q230" i="5" s="1"/>
  <c r="AH242" i="8" s="1"/>
  <c r="AT242" i="8" s="1"/>
  <c r="J242" i="8" s="1"/>
  <c r="L194" i="4"/>
  <c r="Q27" i="5" s="1"/>
  <c r="AH60" i="8" s="1"/>
  <c r="AT60" i="8" s="1"/>
  <c r="J60" i="8" s="1"/>
  <c r="L122" i="4"/>
  <c r="Q141" i="5" s="1"/>
  <c r="AH166" i="8" s="1"/>
  <c r="AT166" i="8" s="1"/>
  <c r="J166" i="8" s="1"/>
  <c r="L123" i="4"/>
  <c r="Q145" i="5" s="1"/>
  <c r="AH170" i="8" s="1"/>
  <c r="AT170" i="8" s="1"/>
  <c r="J170" i="8" s="1"/>
  <c r="L245" i="4"/>
  <c r="Q229" i="5" s="1"/>
  <c r="AH241" i="8" s="1"/>
  <c r="AT241" i="8" s="1"/>
  <c r="J241" i="8" s="1"/>
  <c r="J119" i="4"/>
  <c r="J216" i="4"/>
  <c r="J217" i="4"/>
  <c r="M137" i="4"/>
  <c r="R260" i="5" s="1"/>
  <c r="M127" i="4"/>
  <c r="R171" i="5" s="1"/>
  <c r="M182" i="4"/>
  <c r="R11" i="5" s="1"/>
  <c r="M240" i="4"/>
  <c r="R117" i="5" s="1"/>
  <c r="M209" i="4"/>
  <c r="R259" i="5" s="1"/>
  <c r="M219" i="4"/>
  <c r="R265" i="5" s="1"/>
  <c r="J208" i="4"/>
  <c r="J140" i="4"/>
  <c r="J220" i="4"/>
  <c r="AY307" i="5"/>
  <c r="AM309" i="8"/>
  <c r="AN307" i="5"/>
  <c r="N380" i="4"/>
  <c r="T380" i="5" s="1"/>
  <c r="AI376" i="8" s="1"/>
  <c r="N377" i="4"/>
  <c r="T377" i="5" s="1"/>
  <c r="AI373" i="8" s="1"/>
  <c r="N378" i="4"/>
  <c r="T378" i="5" s="1"/>
  <c r="AI374" i="8" s="1"/>
  <c r="N374" i="4"/>
  <c r="T374" i="5" s="1"/>
  <c r="AI35" i="8" s="1"/>
  <c r="N376" i="4"/>
  <c r="T376" i="5" s="1"/>
  <c r="AI372" i="8" s="1"/>
  <c r="N383" i="4"/>
  <c r="T383" i="5" s="1"/>
  <c r="AI379" i="8" s="1"/>
  <c r="N382" i="4"/>
  <c r="T382" i="5" s="1"/>
  <c r="AI378" i="8" s="1"/>
  <c r="N375" i="4"/>
  <c r="T375" i="5" s="1"/>
  <c r="AI371" i="8" s="1"/>
  <c r="AU371" i="8" s="1"/>
  <c r="N381" i="4"/>
  <c r="T381" i="5" s="1"/>
  <c r="AI377" i="8" s="1"/>
  <c r="N379" i="4"/>
  <c r="T379" i="5" s="1"/>
  <c r="AI375" i="8" s="1"/>
  <c r="Q378" i="4"/>
  <c r="X378" i="5" s="1"/>
  <c r="Q374" i="4"/>
  <c r="X374" i="5" s="1"/>
  <c r="Q376" i="4"/>
  <c r="X376" i="5" s="1"/>
  <c r="Q380" i="4"/>
  <c r="X380" i="5" s="1"/>
  <c r="Q377" i="4"/>
  <c r="X377" i="5" s="1"/>
  <c r="Q379" i="4"/>
  <c r="X379" i="5" s="1"/>
  <c r="Q383" i="4"/>
  <c r="X383" i="5" s="1"/>
  <c r="Q375" i="4"/>
  <c r="X375" i="5" s="1"/>
  <c r="Q381" i="4"/>
  <c r="X381" i="5" s="1"/>
  <c r="Q382" i="4"/>
  <c r="X382" i="5" s="1"/>
  <c r="P127" i="4"/>
  <c r="W171" i="5" s="1"/>
  <c r="AJ194" i="8" s="1"/>
  <c r="AV194" i="8" s="1"/>
  <c r="L194" i="8" s="1"/>
  <c r="P182" i="4"/>
  <c r="W11" i="5" s="1"/>
  <c r="AJ47" i="8" s="1"/>
  <c r="AV47" i="8" s="1"/>
  <c r="L47" i="8" s="1"/>
  <c r="P120" i="4"/>
  <c r="W93" i="5" s="1"/>
  <c r="AJ122" i="8" s="1"/>
  <c r="AV122" i="8" s="1"/>
  <c r="L122" i="8" s="1"/>
  <c r="P240" i="4"/>
  <c r="W117" i="5" s="1"/>
  <c r="AJ145" i="8" s="1"/>
  <c r="AV145" i="8" s="1"/>
  <c r="L145" i="8" s="1"/>
  <c r="P236" i="4"/>
  <c r="W95" i="5" s="1"/>
  <c r="AJ124" i="8" s="1"/>
  <c r="AV124" i="8" s="1"/>
  <c r="L124" i="8" s="1"/>
  <c r="P184" i="4"/>
  <c r="W132" i="5" s="1"/>
  <c r="AJ157" i="8" s="1"/>
  <c r="AV157" i="8" s="1"/>
  <c r="L157" i="8" s="1"/>
  <c r="P137" i="4"/>
  <c r="W260" i="5" s="1"/>
  <c r="AJ269" i="8" s="1"/>
  <c r="AV269" i="8" s="1"/>
  <c r="L269" i="8" s="1"/>
  <c r="P209" i="4"/>
  <c r="W259" i="5" s="1"/>
  <c r="AJ268" i="8" s="1"/>
  <c r="AV268" i="8" s="1"/>
  <c r="L268" i="8" s="1"/>
  <c r="P219" i="4"/>
  <c r="W265" i="5" s="1"/>
  <c r="AJ27" i="8" s="1"/>
  <c r="P176" i="4"/>
  <c r="W267" i="5" s="1"/>
  <c r="AJ275" i="8" s="1"/>
  <c r="AV275" i="8" s="1"/>
  <c r="L275" i="8" s="1"/>
  <c r="F110" i="4"/>
  <c r="H88" i="5" s="1"/>
  <c r="T101" i="4" a="1"/>
  <c r="T101" i="4" s="1"/>
  <c r="AC35" i="5" s="1"/>
  <c r="AL66" i="8" s="1"/>
  <c r="T267" i="4" a="1"/>
  <c r="T267" i="4" s="1"/>
  <c r="AC73" i="5" s="1"/>
  <c r="AL102" i="8" s="1"/>
  <c r="T161" i="4" a="1"/>
  <c r="T161" i="4" s="1"/>
  <c r="AC217" i="5" s="1"/>
  <c r="AL230" i="8" s="1"/>
  <c r="T159" i="4" a="1"/>
  <c r="T159" i="4" s="1"/>
  <c r="AC215" i="5" s="1"/>
  <c r="AL23" i="8" s="1"/>
  <c r="T160" i="4" a="1"/>
  <c r="T160" i="4" s="1"/>
  <c r="AC216" i="5" s="1"/>
  <c r="AL229" i="8" s="1"/>
  <c r="T158" i="4" a="1"/>
  <c r="T158" i="4" s="1"/>
  <c r="AC258" i="5" s="1"/>
  <c r="AL267" i="8" s="1"/>
  <c r="D276" i="4"/>
  <c r="E302" i="5" s="1"/>
  <c r="AP302" i="5" s="1"/>
  <c r="AK79" i="2"/>
  <c r="AS313" i="5"/>
  <c r="AG315" i="8"/>
  <c r="X110" i="4"/>
  <c r="AI88" i="5" s="1"/>
  <c r="AN117" i="8" s="1"/>
  <c r="AZ117" i="8" s="1"/>
  <c r="P117" i="8" s="1"/>
  <c r="X31" i="4"/>
  <c r="AI127" i="5" s="1"/>
  <c r="AN152" i="8" s="1"/>
  <c r="AZ152" i="8" s="1"/>
  <c r="P152" i="8" s="1"/>
  <c r="X253" i="4"/>
  <c r="AI168" i="5" s="1"/>
  <c r="AN191" i="8" s="1"/>
  <c r="AZ191" i="8" s="1"/>
  <c r="P191" i="8" s="1"/>
  <c r="S110" i="4"/>
  <c r="AA88" i="5" s="1"/>
  <c r="S253" i="4"/>
  <c r="AA168" i="5" s="1"/>
  <c r="AA265" i="8"/>
  <c r="V309" i="4"/>
  <c r="AF308" i="5" s="1"/>
  <c r="V316" i="4"/>
  <c r="AF318" i="5" s="1"/>
  <c r="V315" i="4"/>
  <c r="AF316" i="5" s="1"/>
  <c r="V347" i="4"/>
  <c r="AF336" i="5" s="1"/>
  <c r="V314" i="4"/>
  <c r="AF313" i="5" s="1"/>
  <c r="V307" i="4"/>
  <c r="AF317" i="5" s="1"/>
  <c r="P339" i="4"/>
  <c r="W319" i="5" s="1"/>
  <c r="AJ321" i="8" s="1"/>
  <c r="AV321" i="8" s="1"/>
  <c r="P315" i="4"/>
  <c r="W316" i="5" s="1"/>
  <c r="AJ318" i="8" s="1"/>
  <c r="P309" i="4"/>
  <c r="W308" i="5" s="1"/>
  <c r="AJ310" i="8" s="1"/>
  <c r="P314" i="4"/>
  <c r="W313" i="5" s="1"/>
  <c r="AJ315" i="8" s="1"/>
  <c r="P307" i="4"/>
  <c r="W317" i="5" s="1"/>
  <c r="AJ319" i="8" s="1"/>
  <c r="P316" i="4"/>
  <c r="W318" i="5" s="1"/>
  <c r="AJ320" i="8" s="1"/>
  <c r="P347" i="4"/>
  <c r="W336" i="5" s="1"/>
  <c r="AJ336" i="8" s="1"/>
  <c r="T60" i="4" a="1"/>
  <c r="T60" i="4" s="1"/>
  <c r="AC66" i="5" s="1"/>
  <c r="AL95" i="8" s="1"/>
  <c r="AX95" i="8" s="1"/>
  <c r="N95" i="8" s="1"/>
  <c r="I36" i="3"/>
  <c r="M378" i="4"/>
  <c r="R378" i="5" s="1"/>
  <c r="U283" i="4" a="1"/>
  <c r="U283" i="4" s="1"/>
  <c r="AD102" i="5" s="1"/>
  <c r="U113" i="4" a="1"/>
  <c r="U113" i="4" s="1"/>
  <c r="AD135" i="5" s="1"/>
  <c r="U68" i="4" a="1"/>
  <c r="U68" i="4" s="1"/>
  <c r="AD165" i="5" s="1"/>
  <c r="U99" i="4" a="1"/>
  <c r="U99" i="4" s="1"/>
  <c r="AD166" i="5" s="1"/>
  <c r="U117" i="4" a="1"/>
  <c r="U117" i="4" s="1"/>
  <c r="AD232" i="5" s="1"/>
  <c r="S314" i="4"/>
  <c r="AA313" i="5" s="1"/>
  <c r="I276" i="4"/>
  <c r="L302" i="5" s="1"/>
  <c r="AR302" i="5" s="1"/>
  <c r="AA5" i="8"/>
  <c r="E27" i="3"/>
  <c r="AX31" i="5"/>
  <c r="T273" i="4" a="1"/>
  <c r="T273" i="4" s="1"/>
  <c r="AC51" i="5" s="1"/>
  <c r="AL80" i="8" s="1"/>
  <c r="T21" i="4" a="1"/>
  <c r="T21" i="4" s="1"/>
  <c r="AC91" i="5" s="1"/>
  <c r="T56" i="4" a="1"/>
  <c r="T56" i="4" s="1"/>
  <c r="AC116" i="5" s="1"/>
  <c r="AL144" i="8" s="1"/>
  <c r="AX144" i="8" s="1"/>
  <c r="N144" i="8" s="1"/>
  <c r="T298" i="4" a="1"/>
  <c r="T298" i="4" s="1"/>
  <c r="AC124" i="5" s="1"/>
  <c r="AL10" i="8" s="1"/>
  <c r="AX10" i="8" s="1"/>
  <c r="N10" i="8" s="1"/>
  <c r="T200" i="4" a="1"/>
  <c r="T200" i="4" s="1"/>
  <c r="AC244" i="5" s="1"/>
  <c r="AL255" i="8" s="1"/>
  <c r="AX255" i="8" s="1"/>
  <c r="N255" i="8" s="1"/>
  <c r="T168" i="4" a="1"/>
  <c r="T168" i="4" s="1"/>
  <c r="AC248" i="5" s="1"/>
  <c r="AL25" i="8" s="1"/>
  <c r="AX25" i="8" s="1"/>
  <c r="N25" i="8" s="1"/>
  <c r="T218" i="4" a="1"/>
  <c r="T218" i="4" s="1"/>
  <c r="AC242" i="5" s="1"/>
  <c r="AL253" i="8" s="1"/>
  <c r="AX253" i="8" s="1"/>
  <c r="N253" i="8" s="1"/>
  <c r="T30" i="4" a="1"/>
  <c r="T30" i="4" s="1"/>
  <c r="AC275" i="5" s="1"/>
  <c r="AL283" i="8" s="1"/>
  <c r="AX283" i="8" s="1"/>
  <c r="N283" i="8" s="1"/>
  <c r="T259" i="4" a="1"/>
  <c r="T259" i="4" s="1"/>
  <c r="AC297" i="5" s="1"/>
  <c r="AL303" i="8" s="1"/>
  <c r="T154" i="4" a="1"/>
  <c r="T154" i="4" s="1"/>
  <c r="I28" i="3"/>
  <c r="T112" i="4" a="1"/>
  <c r="T112" i="4" s="1"/>
  <c r="AC274" i="5" s="1"/>
  <c r="AL282" i="8" s="1"/>
  <c r="W152" i="4"/>
  <c r="AG205" i="5" s="1"/>
  <c r="W20" i="4"/>
  <c r="AG187" i="5" s="1"/>
  <c r="S316" i="4"/>
  <c r="AA318" i="5" s="1"/>
  <c r="W8" i="4"/>
  <c r="AG177" i="5" s="1"/>
  <c r="W256" i="4"/>
  <c r="AG213" i="5" s="1"/>
  <c r="W121" i="4"/>
  <c r="AG113" i="5" s="1"/>
  <c r="W2" i="4"/>
  <c r="D12" i="4"/>
  <c r="E263" i="5" s="1"/>
  <c r="T232" i="4" a="1"/>
  <c r="T232" i="4" s="1"/>
  <c r="AC19" i="5" s="1"/>
  <c r="Z44" i="4"/>
  <c r="AL18" i="5" s="1"/>
  <c r="N157" i="4"/>
  <c r="T212" i="5" s="1"/>
  <c r="AI227" i="8" s="1"/>
  <c r="Q233" i="4"/>
  <c r="X29" i="5" s="1"/>
  <c r="C49" i="4"/>
  <c r="C34" i="5" s="1"/>
  <c r="X41" i="4"/>
  <c r="AI279" i="5" s="1"/>
  <c r="AN28" i="8" s="1"/>
  <c r="AZ28" i="8" s="1"/>
  <c r="P28" i="8" s="1"/>
  <c r="M181" i="4"/>
  <c r="R10" i="5" s="1"/>
  <c r="U213" i="4" a="1"/>
  <c r="U213" i="4" s="1"/>
  <c r="AD24" i="5" s="1"/>
  <c r="N169" i="4"/>
  <c r="T54" i="5" s="1"/>
  <c r="AI83" i="8" s="1"/>
  <c r="U203" i="4" a="1"/>
  <c r="U203" i="4" s="1"/>
  <c r="AD37" i="5" s="1"/>
  <c r="U49" i="4" a="1"/>
  <c r="U49" i="4" s="1"/>
  <c r="AD34" i="5" s="1"/>
  <c r="C210" i="4"/>
  <c r="C21" i="5" s="1"/>
  <c r="X89" i="4"/>
  <c r="AI48" i="5" s="1"/>
  <c r="AN6" i="8" s="1"/>
  <c r="AZ6" i="8" s="1"/>
  <c r="P6" i="8" s="1"/>
  <c r="X49" i="4"/>
  <c r="AI34" i="5" s="1"/>
  <c r="AN65" i="8" s="1"/>
  <c r="AZ65" i="8" s="1"/>
  <c r="P65" i="8" s="1"/>
  <c r="P38" i="4"/>
  <c r="W63" i="5" s="1"/>
  <c r="AJ92" i="8" s="1"/>
  <c r="AV92" i="8" s="1"/>
  <c r="L92" i="8" s="1"/>
  <c r="Q248" i="4"/>
  <c r="X76" i="5" s="1"/>
  <c r="H38" i="4"/>
  <c r="K63" i="5" s="1"/>
  <c r="M206" i="4"/>
  <c r="R71" i="5" s="1"/>
  <c r="D55" i="4"/>
  <c r="E67" i="5" s="1"/>
  <c r="AC78" i="2"/>
  <c r="T208" i="4" a="1"/>
  <c r="T208" i="4" s="1"/>
  <c r="AC75" i="5" s="1"/>
  <c r="AL104" i="8" s="1"/>
  <c r="C250" i="4"/>
  <c r="C103" i="5" s="1"/>
  <c r="D56" i="4"/>
  <c r="E116" i="5" s="1"/>
  <c r="AD144" i="8" s="1"/>
  <c r="X111" i="4"/>
  <c r="AI94" i="5" s="1"/>
  <c r="AN123" i="8" s="1"/>
  <c r="AZ123" i="8" s="1"/>
  <c r="P123" i="8" s="1"/>
  <c r="S239" i="4"/>
  <c r="AA114" i="5" s="1"/>
  <c r="Z138" i="4"/>
  <c r="AL86" i="5" s="1"/>
  <c r="D284" i="4"/>
  <c r="E106" i="5" s="1"/>
  <c r="AD135" i="8" s="1"/>
  <c r="X241" i="4"/>
  <c r="AI128" i="5" s="1"/>
  <c r="AN153" i="8" s="1"/>
  <c r="AZ153" i="8" s="1"/>
  <c r="P153" i="8" s="1"/>
  <c r="AN60" i="5"/>
  <c r="X79" i="4"/>
  <c r="AI131" i="5" s="1"/>
  <c r="AN156" i="8" s="1"/>
  <c r="AZ156" i="8" s="1"/>
  <c r="P156" i="8" s="1"/>
  <c r="Z65" i="4"/>
  <c r="AL148" i="5" s="1"/>
  <c r="C142" i="4"/>
  <c r="C125" i="5" s="1"/>
  <c r="Z113" i="4"/>
  <c r="AL135" i="5" s="1"/>
  <c r="Y188" i="4"/>
  <c r="AJ152" i="5" s="1"/>
  <c r="Q33" i="4"/>
  <c r="X137" i="5" s="1"/>
  <c r="Q242" i="4"/>
  <c r="X146" i="5" s="1"/>
  <c r="U290" i="4" a="1"/>
  <c r="U290" i="4" s="1"/>
  <c r="AD140" i="5" s="1"/>
  <c r="S278" i="4"/>
  <c r="AA139" i="5" s="1"/>
  <c r="X65" i="4"/>
  <c r="AI148" i="5" s="1"/>
  <c r="AN12" i="8" s="1"/>
  <c r="AZ12" i="8" s="1"/>
  <c r="P12" i="8" s="1"/>
  <c r="U261" i="4" a="1"/>
  <c r="U261" i="4" s="1"/>
  <c r="AD96" i="5" s="1"/>
  <c r="P80" i="4"/>
  <c r="W134" i="5" s="1"/>
  <c r="AJ159" i="8" s="1"/>
  <c r="AV159" i="8" s="1"/>
  <c r="L159" i="8" s="1"/>
  <c r="J296" i="4"/>
  <c r="N156" i="5" s="1"/>
  <c r="AF72" i="2"/>
  <c r="Y70" i="4"/>
  <c r="AJ172" i="5" s="1"/>
  <c r="Q67" i="4"/>
  <c r="X164" i="5" s="1"/>
  <c r="Z35" i="4"/>
  <c r="AL173" i="5" s="1"/>
  <c r="D115" i="4"/>
  <c r="E161" i="5" s="1"/>
  <c r="T294" i="4" a="1"/>
  <c r="T294" i="4" s="1"/>
  <c r="AC144" i="5" s="1"/>
  <c r="AL169" i="8" s="1"/>
  <c r="AX169" i="8" s="1"/>
  <c r="N169" i="8" s="1"/>
  <c r="P15" i="4"/>
  <c r="W181" i="5" s="1"/>
  <c r="AJ202" i="8" s="1"/>
  <c r="AV202" i="8" s="1"/>
  <c r="L202" i="8" s="1"/>
  <c r="J67" i="4"/>
  <c r="N164" i="5" s="1"/>
  <c r="H98" i="4"/>
  <c r="K163" i="5" s="1"/>
  <c r="Y128" i="4"/>
  <c r="AJ179" i="5" s="1"/>
  <c r="X189" i="4"/>
  <c r="AI167" i="5" s="1"/>
  <c r="AN190" i="8" s="1"/>
  <c r="AZ190" i="8" s="1"/>
  <c r="P190" i="8" s="1"/>
  <c r="S17" i="4"/>
  <c r="AA184" i="5" s="1"/>
  <c r="T69" i="4" a="1"/>
  <c r="T69" i="4" s="1"/>
  <c r="AC170" i="5" s="1"/>
  <c r="AL193" i="8" s="1"/>
  <c r="AX193" i="8" s="1"/>
  <c r="R35" i="4"/>
  <c r="Z173" i="5" s="1"/>
  <c r="AK195" i="8" s="1"/>
  <c r="U74" i="4" a="1"/>
  <c r="U74" i="4" s="1"/>
  <c r="AD208" i="5" s="1"/>
  <c r="U225" i="4" a="1"/>
  <c r="U225" i="4" s="1"/>
  <c r="AD196" i="5" s="1"/>
  <c r="H247" i="4"/>
  <c r="K231" i="5" s="1"/>
  <c r="Z159" i="4"/>
  <c r="AL215" i="5" s="1"/>
  <c r="L217" i="4"/>
  <c r="Q227" i="5" s="1"/>
  <c r="AH240" i="8" s="1"/>
  <c r="AT240" i="8" s="1"/>
  <c r="J240" i="8" s="1"/>
  <c r="L102" i="4"/>
  <c r="Q266" i="5" s="1"/>
  <c r="AH274" i="8" s="1"/>
  <c r="AT274" i="8" s="1"/>
  <c r="J274" i="8" s="1"/>
  <c r="Z231" i="4"/>
  <c r="AL221" i="5" s="1"/>
  <c r="X116" i="4"/>
  <c r="AI256" i="5" s="1"/>
  <c r="AN265" i="8" s="1"/>
  <c r="AZ265" i="8" s="1"/>
  <c r="P265" i="8" s="1"/>
  <c r="M85" i="4"/>
  <c r="R224" i="5" s="1"/>
  <c r="D116" i="4"/>
  <c r="E256" i="5" s="1"/>
  <c r="Q66" i="4"/>
  <c r="X277" i="5" s="1"/>
  <c r="Q201" i="4"/>
  <c r="X249" i="5" s="1"/>
  <c r="U157" i="4" a="1"/>
  <c r="U157" i="4" s="1"/>
  <c r="AD212" i="5" s="1"/>
  <c r="X204" i="4"/>
  <c r="AI251" i="5" s="1"/>
  <c r="AN261" i="8" s="1"/>
  <c r="AZ261" i="8" s="1"/>
  <c r="P261" i="8" s="1"/>
  <c r="D176" i="4"/>
  <c r="E267" i="5" s="1"/>
  <c r="L162" i="4"/>
  <c r="Q237" i="5" s="1"/>
  <c r="AH249" i="8" s="1"/>
  <c r="AT249" i="8" s="1"/>
  <c r="J249" i="8" s="1"/>
  <c r="M251" i="4"/>
  <c r="R280" i="5" s="1"/>
  <c r="F231" i="4"/>
  <c r="H221" i="5" s="1"/>
  <c r="T156" i="4" a="1"/>
  <c r="T156" i="4" s="1"/>
  <c r="AC211" i="5" s="1"/>
  <c r="AL226" i="8" s="1"/>
  <c r="S132" i="4"/>
  <c r="AA294" i="5" s="1"/>
  <c r="I235" i="4"/>
  <c r="L253" i="5" s="1"/>
  <c r="C179" i="4"/>
  <c r="C261" i="5" s="1"/>
  <c r="M339" i="4"/>
  <c r="R319" i="5" s="1"/>
  <c r="N176" i="4"/>
  <c r="T267" i="5" s="1"/>
  <c r="C257" i="4"/>
  <c r="C295" i="5" s="1"/>
  <c r="D27" i="4"/>
  <c r="E264" i="5" s="1"/>
  <c r="AD273" i="8" s="1"/>
  <c r="H287" i="4"/>
  <c r="K287" i="5" s="1"/>
  <c r="L167" i="4"/>
  <c r="Q247" i="5" s="1"/>
  <c r="AH258" i="8" s="1"/>
  <c r="AT258" i="8" s="1"/>
  <c r="J258" i="8" s="1"/>
  <c r="Y335" i="4"/>
  <c r="AJ323" i="5" s="1"/>
  <c r="P335" i="4"/>
  <c r="W323" i="5" s="1"/>
  <c r="AJ325" i="8" s="1"/>
  <c r="D342" i="4"/>
  <c r="E334" i="5" s="1"/>
  <c r="O341" i="4"/>
  <c r="U333" i="5" s="1"/>
  <c r="N350" i="4"/>
  <c r="T339" i="5" s="1"/>
  <c r="AI339" i="8" s="1"/>
  <c r="AP340" i="5"/>
  <c r="AD340" i="8"/>
  <c r="AP340" i="8" s="1"/>
  <c r="F340" i="8" s="1"/>
  <c r="D343" i="4"/>
  <c r="E330" i="5" s="1"/>
  <c r="L325" i="4"/>
  <c r="Q328" i="5" s="1"/>
  <c r="AH329" i="8" s="1"/>
  <c r="AT329" i="8" s="1"/>
  <c r="J329" i="8" s="1"/>
  <c r="V325" i="4"/>
  <c r="AF328" i="5" s="1"/>
  <c r="T354" i="4"/>
  <c r="AC370" i="5" s="1"/>
  <c r="AL34" i="8" s="1"/>
  <c r="L360" i="4"/>
  <c r="Q364" i="5" s="1"/>
  <c r="AH362" i="8" s="1"/>
  <c r="P375" i="4"/>
  <c r="W375" i="5" s="1"/>
  <c r="AJ371" i="8" s="1"/>
  <c r="C374" i="4"/>
  <c r="C374" i="5" s="1"/>
  <c r="R35" i="8" s="1"/>
  <c r="C381" i="4"/>
  <c r="C381" i="5" s="1"/>
  <c r="R377" i="8" s="1"/>
  <c r="L416" i="4"/>
  <c r="Q400" i="5" s="1"/>
  <c r="J305" i="4"/>
  <c r="N314" i="5" s="1"/>
  <c r="J306" i="4"/>
  <c r="N315" i="5" s="1"/>
  <c r="J351" i="4"/>
  <c r="N341" i="5" s="1"/>
  <c r="J345" i="4"/>
  <c r="N337" i="5" s="1"/>
  <c r="J323" i="4"/>
  <c r="N326" i="5" s="1"/>
  <c r="J343" i="4"/>
  <c r="N330" i="5" s="1"/>
  <c r="J350" i="4"/>
  <c r="N339" i="5" s="1"/>
  <c r="J133" i="4"/>
  <c r="J195" i="4"/>
  <c r="N228" i="5" s="1"/>
  <c r="J231" i="4"/>
  <c r="N221" i="5" s="1"/>
  <c r="L173" i="4"/>
  <c r="Q78" i="5" s="1"/>
  <c r="AH107" i="8" s="1"/>
  <c r="AT107" i="8" s="1"/>
  <c r="J107" i="8" s="1"/>
  <c r="L302" i="4"/>
  <c r="Q77" i="5" s="1"/>
  <c r="AH106" i="8" s="1"/>
  <c r="AT106" i="8" s="1"/>
  <c r="J106" i="8" s="1"/>
  <c r="L174" i="4"/>
  <c r="Q79" i="5" s="1"/>
  <c r="AH108" i="8" s="1"/>
  <c r="AT108" i="8" s="1"/>
  <c r="J108" i="8" s="1"/>
  <c r="L24" i="4"/>
  <c r="Q182" i="5" s="1"/>
  <c r="AH203" i="8" s="1"/>
  <c r="AT203" i="8" s="1"/>
  <c r="J203" i="8" s="1"/>
  <c r="L18" i="4"/>
  <c r="Q185" i="5" s="1"/>
  <c r="AH205" i="8" s="1"/>
  <c r="AT205" i="8" s="1"/>
  <c r="J205" i="8" s="1"/>
  <c r="D352" i="4"/>
  <c r="E358" i="5" s="1"/>
  <c r="D361" i="4"/>
  <c r="E371" i="5" s="1"/>
  <c r="D364" i="4"/>
  <c r="E359" i="5" s="1"/>
  <c r="D353" i="4"/>
  <c r="E360" i="5" s="1"/>
  <c r="D372" i="4"/>
  <c r="E356" i="5" s="1"/>
  <c r="D359" i="4"/>
  <c r="E363" i="5" s="1"/>
  <c r="D363" i="4"/>
  <c r="E372" i="5" s="1"/>
  <c r="D362" i="4"/>
  <c r="E373" i="5" s="1"/>
  <c r="AP93" i="2"/>
  <c r="AP94" i="2"/>
  <c r="D371" i="4"/>
  <c r="E355" i="5" s="1"/>
  <c r="D373" i="4"/>
  <c r="E357" i="5" s="1"/>
  <c r="D355" i="4"/>
  <c r="E362" i="5" s="1"/>
  <c r="R133" i="4"/>
  <c r="Z226" i="5" s="1"/>
  <c r="AK239" i="8" s="1"/>
  <c r="R195" i="4"/>
  <c r="R85" i="4"/>
  <c r="R231" i="4"/>
  <c r="AX303" i="5"/>
  <c r="AA305" i="8"/>
  <c r="R19" i="4"/>
  <c r="Z186" i="5" s="1"/>
  <c r="AK206" i="8" s="1"/>
  <c r="R407" i="4"/>
  <c r="Z395" i="5" s="1"/>
  <c r="R70" i="4"/>
  <c r="R282" i="4"/>
  <c r="R74" i="4"/>
  <c r="C305" i="4"/>
  <c r="C314" i="5" s="1"/>
  <c r="R316" i="8" s="1"/>
  <c r="C306" i="4"/>
  <c r="C315" i="5" s="1"/>
  <c r="R317" i="8" s="1"/>
  <c r="P318" i="4"/>
  <c r="W306" i="5" s="1"/>
  <c r="AJ308" i="8" s="1"/>
  <c r="P327" i="4"/>
  <c r="W343" i="5" s="1"/>
  <c r="AJ343" i="8" s="1"/>
  <c r="P326" i="4"/>
  <c r="W342" i="5" s="1"/>
  <c r="AJ342" i="8" s="1"/>
  <c r="P328" i="4"/>
  <c r="W344" i="5" s="1"/>
  <c r="AJ344" i="8" s="1"/>
  <c r="P346" i="4"/>
  <c r="W340" i="5" s="1"/>
  <c r="AJ340" i="8" s="1"/>
  <c r="O73" i="4"/>
  <c r="U192" i="5" s="1"/>
  <c r="O71" i="4"/>
  <c r="U190" i="5" s="1"/>
  <c r="O222" i="4"/>
  <c r="U269" i="5" s="1"/>
  <c r="Y116" i="8"/>
  <c r="AW116" i="8" s="1"/>
  <c r="E6" i="13"/>
  <c r="AX310" i="5"/>
  <c r="AA312" i="8"/>
  <c r="R72" i="4"/>
  <c r="R204" i="4"/>
  <c r="R346" i="4"/>
  <c r="R327" i="4"/>
  <c r="R337" i="4"/>
  <c r="R333" i="4"/>
  <c r="R328" i="4"/>
  <c r="R326" i="4"/>
  <c r="R318" i="4"/>
  <c r="E141" i="4"/>
  <c r="F123" i="5" s="1"/>
  <c r="E144" i="4"/>
  <c r="F155" i="5" s="1"/>
  <c r="E161" i="4"/>
  <c r="F217" i="5" s="1"/>
  <c r="E159" i="4"/>
  <c r="F215" i="5" s="1"/>
  <c r="J281" i="4"/>
  <c r="J274" i="4"/>
  <c r="J257" i="4"/>
  <c r="J258" i="4"/>
  <c r="J280" i="4"/>
  <c r="J96" i="4"/>
  <c r="J270" i="4"/>
  <c r="F72" i="4"/>
  <c r="F204" i="4"/>
  <c r="I211" i="4"/>
  <c r="I213" i="4"/>
  <c r="I214" i="4"/>
  <c r="I215" i="4"/>
  <c r="Z306" i="4"/>
  <c r="AL315" i="5" s="1"/>
  <c r="Z305" i="4"/>
  <c r="AL314" i="5" s="1"/>
  <c r="F73" i="4"/>
  <c r="F71" i="4"/>
  <c r="F222" i="4"/>
  <c r="P149" i="4"/>
  <c r="W201" i="5" s="1"/>
  <c r="AJ219" i="8" s="1"/>
  <c r="P117" i="4"/>
  <c r="W232" i="5" s="1"/>
  <c r="AJ244" i="8" s="1"/>
  <c r="P146" i="4"/>
  <c r="W284" i="5" s="1"/>
  <c r="AJ291" i="8" s="1"/>
  <c r="AV291" i="8" s="1"/>
  <c r="L291" i="8" s="1"/>
  <c r="P192" i="4"/>
  <c r="W285" i="5" s="1"/>
  <c r="AJ292" i="8" s="1"/>
  <c r="AV292" i="8" s="1"/>
  <c r="L292" i="8" s="1"/>
  <c r="AC120" i="8"/>
  <c r="AZ91" i="5"/>
  <c r="J164" i="4"/>
  <c r="J163" i="4"/>
  <c r="H372" i="4"/>
  <c r="K356" i="5" s="1"/>
  <c r="AF355" i="8" s="1"/>
  <c r="AR355" i="8" s="1"/>
  <c r="H355" i="8" s="1"/>
  <c r="H353" i="4"/>
  <c r="K360" i="5" s="1"/>
  <c r="AF359" i="8" s="1"/>
  <c r="AR359" i="8" s="1"/>
  <c r="H359" i="8" s="1"/>
  <c r="H362" i="4"/>
  <c r="K373" i="5" s="1"/>
  <c r="AF370" i="8" s="1"/>
  <c r="AR370" i="8" s="1"/>
  <c r="H370" i="8" s="1"/>
  <c r="H363" i="4"/>
  <c r="K372" i="5" s="1"/>
  <c r="AF369" i="8" s="1"/>
  <c r="AR369" i="8" s="1"/>
  <c r="H369" i="8" s="1"/>
  <c r="H352" i="4"/>
  <c r="K358" i="5" s="1"/>
  <c r="AF357" i="8" s="1"/>
  <c r="AR357" i="8" s="1"/>
  <c r="H357" i="8" s="1"/>
  <c r="H364" i="4"/>
  <c r="K359" i="5" s="1"/>
  <c r="AF358" i="8" s="1"/>
  <c r="AR358" i="8" s="1"/>
  <c r="H358" i="8" s="1"/>
  <c r="H373" i="4"/>
  <c r="K357" i="5" s="1"/>
  <c r="AF356" i="8" s="1"/>
  <c r="AR356" i="8" s="1"/>
  <c r="H356" i="8" s="1"/>
  <c r="AT93" i="2"/>
  <c r="AT94" i="2"/>
  <c r="H359" i="4"/>
  <c r="K363" i="5" s="1"/>
  <c r="AF361" i="8" s="1"/>
  <c r="AR361" i="8" s="1"/>
  <c r="H361" i="8" s="1"/>
  <c r="H371" i="4"/>
  <c r="K355" i="5" s="1"/>
  <c r="AF354" i="8" s="1"/>
  <c r="AR354" i="8" s="1"/>
  <c r="H354" i="8" s="1"/>
  <c r="H354" i="4"/>
  <c r="K370" i="5" s="1"/>
  <c r="AF34" i="8" s="1"/>
  <c r="AR34" i="8" s="1"/>
  <c r="H34" i="8" s="1"/>
  <c r="H355" i="4"/>
  <c r="K362" i="5" s="1"/>
  <c r="H361" i="4"/>
  <c r="K371" i="5" s="1"/>
  <c r="AF368" i="8" s="1"/>
  <c r="AR368" i="8" s="1"/>
  <c r="H368" i="8" s="1"/>
  <c r="X223" i="4"/>
  <c r="AI15" i="5" s="1"/>
  <c r="AN50" i="8" s="1"/>
  <c r="AZ50" i="8" s="1"/>
  <c r="P50" i="8" s="1"/>
  <c r="X156" i="4"/>
  <c r="AI211" i="5" s="1"/>
  <c r="AN226" i="8" s="1"/>
  <c r="AZ226" i="8" s="1"/>
  <c r="P226" i="8" s="1"/>
  <c r="X157" i="4"/>
  <c r="AI212" i="5" s="1"/>
  <c r="AN227" i="8" s="1"/>
  <c r="AZ227" i="8" s="1"/>
  <c r="P227" i="8" s="1"/>
  <c r="X82" i="4"/>
  <c r="AI158" i="5" s="1"/>
  <c r="AN182" i="8" s="1"/>
  <c r="AZ182" i="8" s="1"/>
  <c r="P182" i="8" s="1"/>
  <c r="X155" i="4"/>
  <c r="AI209" i="5" s="1"/>
  <c r="AN224" i="8" s="1"/>
  <c r="AZ224" i="8" s="1"/>
  <c r="P224" i="8" s="1"/>
  <c r="X288" i="4"/>
  <c r="AI214" i="5" s="1"/>
  <c r="AN22" i="8" s="1"/>
  <c r="AZ22" i="8" s="1"/>
  <c r="P22" i="8" s="1"/>
  <c r="X193" i="4"/>
  <c r="AI210" i="5" s="1"/>
  <c r="AN225" i="8" s="1"/>
  <c r="AZ225" i="8" s="1"/>
  <c r="P225" i="8" s="1"/>
  <c r="X158" i="4"/>
  <c r="AI258" i="5" s="1"/>
  <c r="AN267" i="8" s="1"/>
  <c r="AZ267" i="8" s="1"/>
  <c r="P267" i="8" s="1"/>
  <c r="U372" i="4"/>
  <c r="AD356" i="5" s="1"/>
  <c r="U355" i="4"/>
  <c r="AD362" i="5" s="1"/>
  <c r="U352" i="4"/>
  <c r="AD358" i="5" s="1"/>
  <c r="U364" i="4"/>
  <c r="AD359" i="5" s="1"/>
  <c r="U353" i="4"/>
  <c r="AD360" i="5" s="1"/>
  <c r="U363" i="4"/>
  <c r="AD372" i="5" s="1"/>
  <c r="U362" i="4"/>
  <c r="AD373" i="5" s="1"/>
  <c r="BG94" i="2"/>
  <c r="BG93" i="2"/>
  <c r="U354" i="4"/>
  <c r="AD370" i="5" s="1"/>
  <c r="U373" i="4"/>
  <c r="AD357" i="5" s="1"/>
  <c r="U361" i="4"/>
  <c r="AD371" i="5" s="1"/>
  <c r="U359" i="4"/>
  <c r="AD363" i="5" s="1"/>
  <c r="AW88" i="2"/>
  <c r="AW87" i="2"/>
  <c r="P294" i="4"/>
  <c r="W144" i="5" s="1"/>
  <c r="AJ169" i="8" s="1"/>
  <c r="P226" i="4"/>
  <c r="W197" i="5" s="1"/>
  <c r="AJ216" i="8" s="1"/>
  <c r="P301" i="4"/>
  <c r="W189" i="5" s="1"/>
  <c r="AJ209" i="8" s="1"/>
  <c r="P264" i="4"/>
  <c r="W198" i="5" s="1"/>
  <c r="AJ217" i="8" s="1"/>
  <c r="P255" i="4"/>
  <c r="W195" i="5" s="1"/>
  <c r="AJ214" i="8" s="1"/>
  <c r="AV214" i="8" s="1"/>
  <c r="AP97" i="5"/>
  <c r="AD126" i="8"/>
  <c r="AP126" i="8" s="1"/>
  <c r="F126" i="8" s="1"/>
  <c r="P229" i="4"/>
  <c r="W28" i="5" s="1"/>
  <c r="AJ4" i="8" s="1"/>
  <c r="P2" i="4"/>
  <c r="P250" i="4"/>
  <c r="W103" i="5" s="1"/>
  <c r="AJ132" i="8" s="1"/>
  <c r="P256" i="4"/>
  <c r="W213" i="5" s="1"/>
  <c r="AJ228" i="8" s="1"/>
  <c r="P20" i="4"/>
  <c r="W187" i="5" s="1"/>
  <c r="AJ207" i="8" s="1"/>
  <c r="AV207" i="8" s="1"/>
  <c r="L207" i="8" s="1"/>
  <c r="P230" i="4"/>
  <c r="W220" i="5" s="1"/>
  <c r="AJ233" i="8" s="1"/>
  <c r="P244" i="4"/>
  <c r="W219" i="5" s="1"/>
  <c r="AJ232" i="8" s="1"/>
  <c r="P29" i="4"/>
  <c r="W268" i="5" s="1"/>
  <c r="AJ276" i="8" s="1"/>
  <c r="AU221" i="8"/>
  <c r="E238" i="4"/>
  <c r="F105" i="5" s="1"/>
  <c r="E196" i="4"/>
  <c r="E64" i="4"/>
  <c r="E94" i="4"/>
  <c r="E251" i="4"/>
  <c r="E247" i="4"/>
  <c r="E202" i="4"/>
  <c r="E121" i="4"/>
  <c r="E266" i="4"/>
  <c r="E267" i="4"/>
  <c r="F73" i="5" s="1"/>
  <c r="E97" i="4"/>
  <c r="F130" i="5" s="1"/>
  <c r="E142" i="4"/>
  <c r="E269" i="4"/>
  <c r="C194" i="4"/>
  <c r="C27" i="5" s="1"/>
  <c r="C122" i="4"/>
  <c r="C141" i="5" s="1"/>
  <c r="C246" i="4"/>
  <c r="C230" i="5" s="1"/>
  <c r="C245" i="4"/>
  <c r="C229" i="5" s="1"/>
  <c r="J141" i="4"/>
  <c r="N123" i="5" s="1"/>
  <c r="J159" i="4"/>
  <c r="N215" i="5" s="1"/>
  <c r="J161" i="4"/>
  <c r="N217" i="5" s="1"/>
  <c r="J95" i="4"/>
  <c r="N273" i="5" s="1"/>
  <c r="J144" i="4"/>
  <c r="J160" i="4"/>
  <c r="E32" i="4"/>
  <c r="F129" i="5" s="1"/>
  <c r="E6" i="4"/>
  <c r="E42" i="4"/>
  <c r="E33" i="4"/>
  <c r="E43" i="4"/>
  <c r="E44" i="4"/>
  <c r="E30" i="4"/>
  <c r="E8" i="4"/>
  <c r="J4" i="4"/>
  <c r="N174" i="5" s="1"/>
  <c r="J102" i="4"/>
  <c r="N266" i="5" s="1"/>
  <c r="J61" i="4"/>
  <c r="J179" i="4"/>
  <c r="AV85" i="2"/>
  <c r="AV84" i="2"/>
  <c r="Z305" i="8"/>
  <c r="AW303" i="5"/>
  <c r="Q188" i="4"/>
  <c r="X152" i="5" s="1"/>
  <c r="Q128" i="4"/>
  <c r="X179" i="5" s="1"/>
  <c r="Q149" i="4"/>
  <c r="X201" i="5" s="1"/>
  <c r="Q117" i="4"/>
  <c r="X232" i="5" s="1"/>
  <c r="Q146" i="4"/>
  <c r="X284" i="5" s="1"/>
  <c r="Q192" i="4"/>
  <c r="X285" i="5" s="1"/>
  <c r="AI239" i="8"/>
  <c r="AU226" i="5"/>
  <c r="O303" i="4"/>
  <c r="U303" i="5" s="1"/>
  <c r="O331" i="4"/>
  <c r="U348" i="5" s="1"/>
  <c r="N149" i="4"/>
  <c r="T201" i="5" s="1"/>
  <c r="AI219" i="8" s="1"/>
  <c r="N192" i="4"/>
  <c r="T285" i="5" s="1"/>
  <c r="N146" i="4"/>
  <c r="T284" i="5" s="1"/>
  <c r="X205" i="4"/>
  <c r="AI53" i="5" s="1"/>
  <c r="AN82" i="8" s="1"/>
  <c r="AZ82" i="8" s="1"/>
  <c r="P82" i="8" s="1"/>
  <c r="X272" i="4"/>
  <c r="AI50" i="5" s="1"/>
  <c r="AN79" i="8" s="1"/>
  <c r="AZ79" i="8" s="1"/>
  <c r="P79" i="8" s="1"/>
  <c r="X234" i="4"/>
  <c r="X233" i="4"/>
  <c r="R81" i="4"/>
  <c r="R80" i="4"/>
  <c r="X294" i="4"/>
  <c r="AI144" i="5" s="1"/>
  <c r="AN169" i="8" s="1"/>
  <c r="AZ169" i="8" s="1"/>
  <c r="P169" i="8" s="1"/>
  <c r="X226" i="4"/>
  <c r="AI197" i="5" s="1"/>
  <c r="AN216" i="8" s="1"/>
  <c r="AZ216" i="8" s="1"/>
  <c r="P216" i="8" s="1"/>
  <c r="X301" i="4"/>
  <c r="AI189" i="5" s="1"/>
  <c r="AN209" i="8" s="1"/>
  <c r="AZ209" i="8" s="1"/>
  <c r="X264" i="4"/>
  <c r="AI198" i="5" s="1"/>
  <c r="AN217" i="8" s="1"/>
  <c r="AZ217" i="8" s="1"/>
  <c r="P217" i="8" s="1"/>
  <c r="C220" i="4"/>
  <c r="C9" i="5" s="1"/>
  <c r="C208" i="4"/>
  <c r="C75" i="5" s="1"/>
  <c r="O144" i="4"/>
  <c r="U155" i="5" s="1"/>
  <c r="O141" i="4"/>
  <c r="U123" i="5" s="1"/>
  <c r="O161" i="4"/>
  <c r="U217" i="5" s="1"/>
  <c r="X21" i="8"/>
  <c r="AU205" i="5"/>
  <c r="P372" i="4"/>
  <c r="W356" i="5" s="1"/>
  <c r="AJ355" i="8" s="1"/>
  <c r="P364" i="4"/>
  <c r="W359" i="5" s="1"/>
  <c r="AJ358" i="8" s="1"/>
  <c r="P363" i="4"/>
  <c r="W372" i="5" s="1"/>
  <c r="AJ369" i="8" s="1"/>
  <c r="P352" i="4"/>
  <c r="W358" i="5" s="1"/>
  <c r="AJ357" i="8" s="1"/>
  <c r="P353" i="4"/>
  <c r="W360" i="5" s="1"/>
  <c r="AJ359" i="8" s="1"/>
  <c r="P362" i="4"/>
  <c r="W373" i="5" s="1"/>
  <c r="AJ370" i="8" s="1"/>
  <c r="P357" i="4"/>
  <c r="W361" i="5" s="1"/>
  <c r="AJ360" i="8" s="1"/>
  <c r="P361" i="4"/>
  <c r="W371" i="5" s="1"/>
  <c r="AJ368" i="8" s="1"/>
  <c r="BB93" i="2"/>
  <c r="BB94" i="2"/>
  <c r="P355" i="4"/>
  <c r="W362" i="5" s="1"/>
  <c r="AJ33" i="8" s="1"/>
  <c r="P354" i="4"/>
  <c r="W370" i="5" s="1"/>
  <c r="AJ34" i="8" s="1"/>
  <c r="P371" i="4"/>
  <c r="W355" i="5" s="1"/>
  <c r="AJ354" i="8" s="1"/>
  <c r="Q15" i="4"/>
  <c r="X181" i="5" s="1"/>
  <c r="Q297" i="4"/>
  <c r="X272" i="5" s="1"/>
  <c r="Q411" i="4"/>
  <c r="X411" i="5" s="1"/>
  <c r="Y88" i="8"/>
  <c r="AV59" i="5"/>
  <c r="Q229" i="4"/>
  <c r="X28" i="5" s="1"/>
  <c r="Q2" i="4"/>
  <c r="Q20" i="4"/>
  <c r="X187" i="5" s="1"/>
  <c r="Q244" i="4"/>
  <c r="X219" i="5" s="1"/>
  <c r="Q230" i="4"/>
  <c r="X220" i="5" s="1"/>
  <c r="Q256" i="4"/>
  <c r="X213" i="5" s="1"/>
  <c r="Q29" i="4"/>
  <c r="X268" i="5" s="1"/>
  <c r="O69" i="4"/>
  <c r="U170" i="5" s="1"/>
  <c r="O116" i="4"/>
  <c r="U256" i="5" s="1"/>
  <c r="O275" i="4"/>
  <c r="U300" i="5" s="1"/>
  <c r="O62" i="4"/>
  <c r="U109" i="5" s="1"/>
  <c r="O75" i="4"/>
  <c r="U250" i="5" s="1"/>
  <c r="Q4" i="4"/>
  <c r="X174" i="5" s="1"/>
  <c r="Q61" i="4"/>
  <c r="X262" i="5" s="1"/>
  <c r="Q102" i="4"/>
  <c r="X266" i="5" s="1"/>
  <c r="BC84" i="2"/>
  <c r="BC85" i="2"/>
  <c r="X131" i="8"/>
  <c r="AU102" i="5"/>
  <c r="X62" i="8"/>
  <c r="AU30" i="5"/>
  <c r="F294" i="4"/>
  <c r="H144" i="5" s="1"/>
  <c r="F264" i="4"/>
  <c r="H198" i="5" s="1"/>
  <c r="F255" i="4"/>
  <c r="F226" i="4"/>
  <c r="F301" i="4"/>
  <c r="F254" i="4"/>
  <c r="F106" i="4"/>
  <c r="F57" i="4"/>
  <c r="F105" i="4"/>
  <c r="F4" i="4"/>
  <c r="H174" i="5" s="1"/>
  <c r="F61" i="4"/>
  <c r="F102" i="4"/>
  <c r="F179" i="4"/>
  <c r="AR85" i="2"/>
  <c r="AR84" i="2"/>
  <c r="O93" i="4"/>
  <c r="U112" i="5" s="1"/>
  <c r="O143" i="4"/>
  <c r="U126" i="5" s="1"/>
  <c r="O139" i="4"/>
  <c r="U110" i="5" s="1"/>
  <c r="O92" i="4"/>
  <c r="U111" i="5" s="1"/>
  <c r="O98" i="4"/>
  <c r="U163" i="5" s="1"/>
  <c r="O227" i="4"/>
  <c r="U203" i="5" s="1"/>
  <c r="D101" i="4"/>
  <c r="E35" i="5" s="1"/>
  <c r="D178" i="4"/>
  <c r="E85" i="5" s="1"/>
  <c r="D175" i="4"/>
  <c r="E81" i="5" s="1"/>
  <c r="D136" i="4"/>
  <c r="E84" i="5" s="1"/>
  <c r="D177" i="4"/>
  <c r="E83" i="5" s="1"/>
  <c r="D138" i="4"/>
  <c r="E86" i="5" s="1"/>
  <c r="D76" i="4"/>
  <c r="E115" i="5" s="1"/>
  <c r="D25" i="4"/>
  <c r="E252" i="5" s="1"/>
  <c r="D275" i="4"/>
  <c r="E300" i="5" s="1"/>
  <c r="AP300" i="5" s="1"/>
  <c r="D289" i="4"/>
  <c r="E52" i="5" s="1"/>
  <c r="D273" i="4"/>
  <c r="E51" i="5" s="1"/>
  <c r="D75" i="4"/>
  <c r="E250" i="5" s="1"/>
  <c r="F229" i="4"/>
  <c r="H28" i="5" s="1"/>
  <c r="F250" i="4"/>
  <c r="H103" i="5" s="1"/>
  <c r="F256" i="4"/>
  <c r="H213" i="5" s="1"/>
  <c r="F20" i="4"/>
  <c r="H187" i="5" s="1"/>
  <c r="F230" i="4"/>
  <c r="H220" i="5" s="1"/>
  <c r="F244" i="4"/>
  <c r="H219" i="5" s="1"/>
  <c r="F29" i="4"/>
  <c r="H268" i="5" s="1"/>
  <c r="F2" i="4"/>
  <c r="AO222" i="8"/>
  <c r="BA207" i="5"/>
  <c r="J150" i="4"/>
  <c r="N202" i="5" s="1"/>
  <c r="J114" i="4"/>
  <c r="O111" i="4"/>
  <c r="U94" i="5" s="1"/>
  <c r="O297" i="4"/>
  <c r="U272" i="5" s="1"/>
  <c r="X85" i="8"/>
  <c r="AV85" i="8" s="1"/>
  <c r="AU56" i="5"/>
  <c r="C60" i="4"/>
  <c r="C66" i="5" s="1"/>
  <c r="C185" i="4"/>
  <c r="C136" i="5" s="1"/>
  <c r="C187" i="4"/>
  <c r="C151" i="5" s="1"/>
  <c r="C200" i="4"/>
  <c r="C244" i="5" s="1"/>
  <c r="C10" i="4"/>
  <c r="C254" i="5" s="1"/>
  <c r="C125" i="4"/>
  <c r="C278" i="5" s="1"/>
  <c r="R286" i="8" s="1"/>
  <c r="M267" i="4"/>
  <c r="R73" i="5" s="1"/>
  <c r="M142" i="4"/>
  <c r="R125" i="5" s="1"/>
  <c r="M97" i="4"/>
  <c r="R130" i="5" s="1"/>
  <c r="M269" i="4"/>
  <c r="R2" i="5" s="1"/>
  <c r="M234" i="4"/>
  <c r="R30" i="5" s="1"/>
  <c r="M233" i="4"/>
  <c r="R29" i="5" s="1"/>
  <c r="M272" i="4"/>
  <c r="R50" i="5" s="1"/>
  <c r="M205" i="4"/>
  <c r="R53" i="5" s="1"/>
  <c r="W75" i="8"/>
  <c r="AU75" i="8" s="1"/>
  <c r="AT44" i="5"/>
  <c r="AL8" i="2"/>
  <c r="M4" i="4"/>
  <c r="R174" i="5" s="1"/>
  <c r="M61" i="4"/>
  <c r="R262" i="5" s="1"/>
  <c r="M102" i="4"/>
  <c r="R266" i="5" s="1"/>
  <c r="AY84" i="2"/>
  <c r="AY85" i="2"/>
  <c r="M179" i="4"/>
  <c r="R261" i="5" s="1"/>
  <c r="Z49" i="4"/>
  <c r="AL34" i="5" s="1"/>
  <c r="Z45" i="4"/>
  <c r="AL31" i="5" s="1"/>
  <c r="Z47" i="4"/>
  <c r="AL33" i="5" s="1"/>
  <c r="Z5" i="4"/>
  <c r="AL61" i="5" s="1"/>
  <c r="Z34" i="4"/>
  <c r="AL149" i="5" s="1"/>
  <c r="Z7" i="4"/>
  <c r="AL176" i="5" s="1"/>
  <c r="Z9" i="4"/>
  <c r="AL188" i="5" s="1"/>
  <c r="Z48" i="4"/>
  <c r="AL233" i="5" s="1"/>
  <c r="Z183" i="4"/>
  <c r="AL271" i="5" s="1"/>
  <c r="AO98" i="8"/>
  <c r="BA98" i="8" s="1"/>
  <c r="BA69" i="5"/>
  <c r="BA55" i="5"/>
  <c r="AO84" i="8"/>
  <c r="Z66" i="4"/>
  <c r="AL277" i="5" s="1"/>
  <c r="Z12" i="4"/>
  <c r="AL263" i="5" s="1"/>
  <c r="N367" i="4"/>
  <c r="T368" i="5" s="1"/>
  <c r="AI366" i="8" s="1"/>
  <c r="N360" i="4"/>
  <c r="T364" i="5" s="1"/>
  <c r="AI362" i="8" s="1"/>
  <c r="N356" i="4"/>
  <c r="T366" i="5" s="1"/>
  <c r="AI364" i="8" s="1"/>
  <c r="N358" i="4"/>
  <c r="T352" i="5" s="1"/>
  <c r="AI351" i="8" s="1"/>
  <c r="N369" i="4"/>
  <c r="T353" i="5" s="1"/>
  <c r="AI352" i="8" s="1"/>
  <c r="N366" i="4"/>
  <c r="T367" i="5" s="1"/>
  <c r="AI365" i="8" s="1"/>
  <c r="N368" i="4"/>
  <c r="T369" i="5" s="1"/>
  <c r="AI367" i="8" s="1"/>
  <c r="N365" i="4"/>
  <c r="T365" i="5" s="1"/>
  <c r="AI363" i="8" s="1"/>
  <c r="E282" i="4"/>
  <c r="F222" i="5" s="1"/>
  <c r="E19" i="4"/>
  <c r="F186" i="5" s="1"/>
  <c r="E407" i="4"/>
  <c r="E70" i="4"/>
  <c r="E74" i="4"/>
  <c r="R23" i="4"/>
  <c r="Z13" i="5" s="1"/>
  <c r="AK48" i="8" s="1"/>
  <c r="R56" i="4"/>
  <c r="R53" i="4"/>
  <c r="R412" i="4"/>
  <c r="Z402" i="5" s="1"/>
  <c r="R298" i="4"/>
  <c r="U277" i="4" a="1"/>
  <c r="U277" i="4" s="1"/>
  <c r="AD301" i="5" s="1"/>
  <c r="AX301" i="5" s="1"/>
  <c r="U268" i="4" a="1"/>
  <c r="U268" i="4" s="1"/>
  <c r="AD100" i="5" s="1"/>
  <c r="U249" i="4" a="1"/>
  <c r="U249" i="4" s="1"/>
  <c r="AD99" i="5" s="1"/>
  <c r="U292" i="4" a="1"/>
  <c r="U292" i="4" s="1"/>
  <c r="AD143" i="5" s="1"/>
  <c r="U301" i="4" a="1"/>
  <c r="U301" i="4" s="1"/>
  <c r="AD189" i="5" s="1"/>
  <c r="U72" i="4" a="1"/>
  <c r="U72" i="4" s="1"/>
  <c r="AD191" i="5" s="1"/>
  <c r="U71" i="4" a="1"/>
  <c r="U71" i="4" s="1"/>
  <c r="AD190" i="5" s="1"/>
  <c r="U119" i="4" a="1"/>
  <c r="U119" i="4" s="1"/>
  <c r="AD241" i="5" s="1"/>
  <c r="U280" i="4" a="1"/>
  <c r="U280" i="4" s="1"/>
  <c r="AD290" i="5" s="1"/>
  <c r="J212" i="4"/>
  <c r="N23" i="5" s="1"/>
  <c r="J148" i="4"/>
  <c r="J147" i="4"/>
  <c r="J210" i="4"/>
  <c r="AV386" i="5"/>
  <c r="S195" i="4"/>
  <c r="AA228" i="5" s="1"/>
  <c r="S133" i="4"/>
  <c r="AA226" i="5" s="1"/>
  <c r="S231" i="4"/>
  <c r="AA221" i="5" s="1"/>
  <c r="Q293" i="4"/>
  <c r="X89" i="5" s="1"/>
  <c r="Q77" i="4"/>
  <c r="X119" i="5" s="1"/>
  <c r="Q286" i="4"/>
  <c r="X108" i="5" s="1"/>
  <c r="Q285" i="4"/>
  <c r="X107" i="5" s="1"/>
  <c r="Q241" i="4"/>
  <c r="X128" i="5" s="1"/>
  <c r="Q13" i="4"/>
  <c r="X142" i="5" s="1"/>
  <c r="Q290" i="4"/>
  <c r="X140" i="5" s="1"/>
  <c r="Q63" i="4"/>
  <c r="X270" i="5" s="1"/>
  <c r="E325" i="4"/>
  <c r="E334" i="4"/>
  <c r="E336" i="4"/>
  <c r="E348" i="4"/>
  <c r="E342" i="4"/>
  <c r="E341" i="4"/>
  <c r="E329" i="4"/>
  <c r="E321" i="4"/>
  <c r="E322" i="4"/>
  <c r="E335" i="4"/>
  <c r="E317" i="4"/>
  <c r="E319" i="4"/>
  <c r="E320" i="4"/>
  <c r="S257" i="4"/>
  <c r="AA295" i="5" s="1"/>
  <c r="S280" i="4"/>
  <c r="AA290" i="5" s="1"/>
  <c r="S274" i="4"/>
  <c r="AA288" i="5" s="1"/>
  <c r="S270" i="4"/>
  <c r="AA291" i="5" s="1"/>
  <c r="R63" i="4"/>
  <c r="Z270" i="5" s="1"/>
  <c r="AK278" i="8" s="1"/>
  <c r="R241" i="4"/>
  <c r="R13" i="4"/>
  <c r="R293" i="4"/>
  <c r="R284" i="4"/>
  <c r="R285" i="4"/>
  <c r="R286" i="4"/>
  <c r="R27" i="4"/>
  <c r="R278" i="4"/>
  <c r="R290" i="4"/>
  <c r="R77" i="4"/>
  <c r="O312" i="4"/>
  <c r="U311" i="5" s="1"/>
  <c r="O313" i="4"/>
  <c r="U312" i="5" s="1"/>
  <c r="O310" i="4"/>
  <c r="U309" i="5" s="1"/>
  <c r="O349" i="4"/>
  <c r="U335" i="5" s="1"/>
  <c r="BA91" i="2"/>
  <c r="BA90" i="2"/>
  <c r="X216" i="4"/>
  <c r="AI223" i="5" s="1"/>
  <c r="AN236" i="8" s="1"/>
  <c r="AZ236" i="8" s="1"/>
  <c r="P236" i="8" s="1"/>
  <c r="X119" i="4"/>
  <c r="AI241" i="5" s="1"/>
  <c r="AN252" i="8" s="1"/>
  <c r="AZ252" i="8" s="1"/>
  <c r="P252" i="8" s="1"/>
  <c r="AL74" i="2"/>
  <c r="AT385" i="5"/>
  <c r="J291" i="4"/>
  <c r="N101" i="5" s="1"/>
  <c r="J300" i="4"/>
  <c r="N153" i="5" s="1"/>
  <c r="J249" i="4"/>
  <c r="J292" i="4"/>
  <c r="J248" i="4"/>
  <c r="J252" i="4"/>
  <c r="J243" i="4"/>
  <c r="J268" i="4"/>
  <c r="X369" i="4"/>
  <c r="AI353" i="5" s="1"/>
  <c r="AN352" i="8" s="1"/>
  <c r="X368" i="4"/>
  <c r="AI369" i="5" s="1"/>
  <c r="AN367" i="8" s="1"/>
  <c r="X356" i="4"/>
  <c r="AI366" i="5" s="1"/>
  <c r="AN364" i="8" s="1"/>
  <c r="X370" i="4"/>
  <c r="AI354" i="5" s="1"/>
  <c r="AN353" i="8" s="1"/>
  <c r="AZ353" i="8" s="1"/>
  <c r="X360" i="4"/>
  <c r="AI364" i="5" s="1"/>
  <c r="AN362" i="8" s="1"/>
  <c r="X367" i="4"/>
  <c r="AI368" i="5" s="1"/>
  <c r="AN366" i="8" s="1"/>
  <c r="X358" i="4"/>
  <c r="AI352" i="5" s="1"/>
  <c r="AN351" i="8" s="1"/>
  <c r="P304" i="4"/>
  <c r="W304" i="5" s="1"/>
  <c r="AJ306" i="8" s="1"/>
  <c r="P332" i="4"/>
  <c r="W349" i="5" s="1"/>
  <c r="AJ349" i="8" s="1"/>
  <c r="P340" i="4"/>
  <c r="W331" i="5" s="1"/>
  <c r="AJ31" i="8" s="1"/>
  <c r="AP91" i="5"/>
  <c r="AD120" i="8"/>
  <c r="AP120" i="8" s="1"/>
  <c r="F120" i="8" s="1"/>
  <c r="F251" i="8"/>
  <c r="AC52" i="2"/>
  <c r="AD381" i="8"/>
  <c r="AP381" i="8" s="1"/>
  <c r="F381" i="8" s="1"/>
  <c r="AP384" i="5"/>
  <c r="Z306" i="8"/>
  <c r="AW304" i="5"/>
  <c r="U202" i="4" a="1"/>
  <c r="U202" i="4" s="1"/>
  <c r="AD36" i="5" s="1"/>
  <c r="U53" i="4" a="1"/>
  <c r="U53" i="4" s="1"/>
  <c r="AD43" i="5" s="1"/>
  <c r="U37" i="4" a="1"/>
  <c r="U37" i="4" s="1"/>
  <c r="AD62" i="5" s="1"/>
  <c r="U132" i="4" a="1"/>
  <c r="U132" i="4" s="1"/>
  <c r="AD294" i="5" s="1"/>
  <c r="U201" i="4" a="1"/>
  <c r="U201" i="4" s="1"/>
  <c r="AD249" i="5" s="1"/>
  <c r="H133" i="4"/>
  <c r="K226" i="5" s="1"/>
  <c r="M53" i="4"/>
  <c r="R43" i="5" s="1"/>
  <c r="L31" i="4"/>
  <c r="Q127" i="5" s="1"/>
  <c r="AH152" i="8" s="1"/>
  <c r="AT152" i="8" s="1"/>
  <c r="J152" i="8" s="1"/>
  <c r="L79" i="4"/>
  <c r="Q131" i="5" s="1"/>
  <c r="AH156" i="8" s="1"/>
  <c r="AT156" i="8" s="1"/>
  <c r="J156" i="8" s="1"/>
  <c r="L253" i="4"/>
  <c r="Q168" i="5" s="1"/>
  <c r="AH191" i="8" s="1"/>
  <c r="AT191" i="8" s="1"/>
  <c r="J191" i="8" s="1"/>
  <c r="T103" i="4" a="1"/>
  <c r="T103" i="4" s="1"/>
  <c r="AC55" i="5" s="1"/>
  <c r="AL84" i="8" s="1"/>
  <c r="AX84" i="8" s="1"/>
  <c r="T116" i="4" a="1"/>
  <c r="T116" i="4" s="1"/>
  <c r="AC256" i="5" s="1"/>
  <c r="AL265" i="8" s="1"/>
  <c r="AX265" i="8" s="1"/>
  <c r="N265" i="8" s="1"/>
  <c r="J316" i="4"/>
  <c r="N318" i="5" s="1"/>
  <c r="J315" i="4"/>
  <c r="N316" i="5" s="1"/>
  <c r="J309" i="4"/>
  <c r="N308" i="5" s="1"/>
  <c r="J307" i="4"/>
  <c r="N317" i="5" s="1"/>
  <c r="J339" i="4"/>
  <c r="N319" i="5" s="1"/>
  <c r="J347" i="4"/>
  <c r="N336" i="5" s="1"/>
  <c r="D315" i="4"/>
  <c r="E316" i="5" s="1"/>
  <c r="D309" i="4"/>
  <c r="E308" i="5" s="1"/>
  <c r="D307" i="4"/>
  <c r="E317" i="5" s="1"/>
  <c r="D316" i="4"/>
  <c r="E318" i="5" s="1"/>
  <c r="D339" i="4"/>
  <c r="E319" i="5" s="1"/>
  <c r="D347" i="4"/>
  <c r="E336" i="5" s="1"/>
  <c r="T283" i="4" a="1"/>
  <c r="T283" i="4" s="1"/>
  <c r="AC102" i="5" s="1"/>
  <c r="AL131" i="8" s="1"/>
  <c r="AX131" i="8" s="1"/>
  <c r="T99" i="4" a="1"/>
  <c r="T99" i="4" s="1"/>
  <c r="AC166" i="5" s="1"/>
  <c r="AL189" i="8" s="1"/>
  <c r="AX189" i="8" s="1"/>
  <c r="N189" i="8" s="1"/>
  <c r="T117" i="4" a="1"/>
  <c r="T117" i="4" s="1"/>
  <c r="AC232" i="5" s="1"/>
  <c r="AL244" i="8" s="1"/>
  <c r="BA60" i="5"/>
  <c r="AO89" i="8"/>
  <c r="BA89" i="8" s="1"/>
  <c r="O276" i="4"/>
  <c r="U302" i="5" s="1"/>
  <c r="AU302" i="5" s="1"/>
  <c r="U275" i="4" a="1"/>
  <c r="U275" i="4" s="1"/>
  <c r="AD300" i="5" s="1"/>
  <c r="AX300" i="5" s="1"/>
  <c r="W192" i="4"/>
  <c r="AG285" i="5" s="1"/>
  <c r="D173" i="4"/>
  <c r="E78" i="5" s="1"/>
  <c r="W100" i="4"/>
  <c r="AG238" i="5" s="1"/>
  <c r="X210" i="4"/>
  <c r="AI21" i="5" s="1"/>
  <c r="AN54" i="8" s="1"/>
  <c r="AZ54" i="8" s="1"/>
  <c r="P54" i="8" s="1"/>
  <c r="M12" i="4"/>
  <c r="R263" i="5" s="1"/>
  <c r="P44" i="4"/>
  <c r="W18" i="5" s="1"/>
  <c r="AJ53" i="8" s="1"/>
  <c r="N42" i="4"/>
  <c r="T16" i="5" s="1"/>
  <c r="AI51" i="8" s="1"/>
  <c r="S272" i="4"/>
  <c r="AA50" i="5" s="1"/>
  <c r="Q49" i="4"/>
  <c r="X34" i="5" s="1"/>
  <c r="P223" i="4"/>
  <c r="W15" i="5" s="1"/>
  <c r="AJ50" i="8" s="1"/>
  <c r="H140" i="4"/>
  <c r="K14" i="5" s="1"/>
  <c r="L140" i="4"/>
  <c r="Q14" i="5" s="1"/>
  <c r="AH49" i="8" s="1"/>
  <c r="AT49" i="8" s="1"/>
  <c r="J49" i="8" s="1"/>
  <c r="D181" i="4"/>
  <c r="E10" i="5" s="1"/>
  <c r="U232" i="4" a="1"/>
  <c r="U232" i="4" s="1"/>
  <c r="AD19" i="5" s="1"/>
  <c r="U51" i="4" a="1"/>
  <c r="U51" i="4" s="1"/>
  <c r="AD39" i="5" s="1"/>
  <c r="C51" i="4"/>
  <c r="C39" i="5" s="1"/>
  <c r="T212" i="4" a="1"/>
  <c r="T212" i="4" s="1"/>
  <c r="AC23" i="5" s="1"/>
  <c r="AL56" i="8" s="1"/>
  <c r="U36" i="4" a="1"/>
  <c r="U36" i="4" s="1"/>
  <c r="AD42" i="5" s="1"/>
  <c r="Y38" i="4"/>
  <c r="AJ63" i="5" s="1"/>
  <c r="Z174" i="4"/>
  <c r="AL79" i="5" s="1"/>
  <c r="P39" i="4"/>
  <c r="W64" i="5" s="1"/>
  <c r="AJ93" i="8" s="1"/>
  <c r="AV93" i="8" s="1"/>
  <c r="L93" i="8" s="1"/>
  <c r="C55" i="4"/>
  <c r="C67" i="5" s="1"/>
  <c r="L248" i="4"/>
  <c r="Q76" i="5" s="1"/>
  <c r="AH105" i="8" s="1"/>
  <c r="AT105" i="8" s="1"/>
  <c r="J105" i="8" s="1"/>
  <c r="Q55" i="4"/>
  <c r="X67" i="5" s="1"/>
  <c r="T302" i="4" a="1"/>
  <c r="T302" i="4" s="1"/>
  <c r="AC77" i="5" s="1"/>
  <c r="X248" i="4"/>
  <c r="AI76" i="5" s="1"/>
  <c r="AN105" i="8" s="1"/>
  <c r="AZ105" i="8" s="1"/>
  <c r="P105" i="8" s="1"/>
  <c r="D239" i="4"/>
  <c r="E114" i="5" s="1"/>
  <c r="D94" i="4"/>
  <c r="E120" i="5" s="1"/>
  <c r="M236" i="4"/>
  <c r="R95" i="5" s="1"/>
  <c r="M56" i="4"/>
  <c r="R116" i="5" s="1"/>
  <c r="S138" i="4"/>
  <c r="AA86" i="5" s="1"/>
  <c r="D62" i="4"/>
  <c r="E109" i="5" s="1"/>
  <c r="F32" i="4"/>
  <c r="H129" i="5" s="1"/>
  <c r="T221" i="4" a="1"/>
  <c r="T221" i="4" s="1"/>
  <c r="AC80" i="5" s="1"/>
  <c r="AL109" i="8" s="1"/>
  <c r="C38" i="4"/>
  <c r="C63" i="5" s="1"/>
  <c r="P79" i="4"/>
  <c r="W131" i="5" s="1"/>
  <c r="AJ156" i="8" s="1"/>
  <c r="AV156" i="8" s="1"/>
  <c r="X188" i="4"/>
  <c r="AI152" i="5" s="1"/>
  <c r="AN176" i="8" s="1"/>
  <c r="AZ176" i="8" s="1"/>
  <c r="P176" i="8" s="1"/>
  <c r="T80" i="4" a="1"/>
  <c r="T80" i="4" s="1"/>
  <c r="AC134" i="5" s="1"/>
  <c r="AL159" i="8" s="1"/>
  <c r="AX159" i="8" s="1"/>
  <c r="N159" i="8" s="1"/>
  <c r="M114" i="4"/>
  <c r="R138" i="5" s="1"/>
  <c r="M300" i="4"/>
  <c r="R153" i="5" s="1"/>
  <c r="Y33" i="4"/>
  <c r="AJ137" i="5" s="1"/>
  <c r="E65" i="4"/>
  <c r="F148" i="5" s="1"/>
  <c r="U81" i="4" a="1"/>
  <c r="U81" i="4" s="1"/>
  <c r="AD147" i="5" s="1"/>
  <c r="Z278" i="4"/>
  <c r="AL139" i="5" s="1"/>
  <c r="P111" i="4"/>
  <c r="W94" i="5" s="1"/>
  <c r="AJ123" i="8" s="1"/>
  <c r="T284" i="4" a="1"/>
  <c r="T284" i="4" s="1"/>
  <c r="AC106" i="5" s="1"/>
  <c r="AL135" i="8" s="1"/>
  <c r="Q186" i="4"/>
  <c r="X150" i="5" s="1"/>
  <c r="O96" i="4"/>
  <c r="U122" i="5" s="1"/>
  <c r="T120" i="4" a="1"/>
  <c r="T120" i="4" s="1"/>
  <c r="AC93" i="5" s="1"/>
  <c r="AL122" i="8" s="1"/>
  <c r="L295" i="4"/>
  <c r="Q98" i="5" s="1"/>
  <c r="AH127" i="8" s="1"/>
  <c r="AT127" i="8" s="1"/>
  <c r="J127" i="8" s="1"/>
  <c r="T252" i="4" a="1"/>
  <c r="T252" i="4" s="1"/>
  <c r="AC157" i="5" s="1"/>
  <c r="AL181" i="8" s="1"/>
  <c r="T113" i="4" a="1"/>
  <c r="T113" i="4" s="1"/>
  <c r="AC135" i="5" s="1"/>
  <c r="AL160" i="8" s="1"/>
  <c r="AX160" i="8" s="1"/>
  <c r="D128" i="4"/>
  <c r="E179" i="5" s="1"/>
  <c r="AD201" i="8" s="1"/>
  <c r="F68" i="4"/>
  <c r="H165" i="5" s="1"/>
  <c r="C65" i="4"/>
  <c r="C148" i="5" s="1"/>
  <c r="U145" i="4" a="1"/>
  <c r="U145" i="4" s="1"/>
  <c r="AD178" i="5" s="1"/>
  <c r="M243" i="4"/>
  <c r="R193" i="5" s="1"/>
  <c r="N115" i="4"/>
  <c r="T161" i="5" s="1"/>
  <c r="AI184" i="8" s="1"/>
  <c r="T82" i="4" a="1"/>
  <c r="T82" i="4" s="1"/>
  <c r="AC158" i="5" s="1"/>
  <c r="AL182" i="8" s="1"/>
  <c r="X68" i="4"/>
  <c r="AI165" i="5" s="1"/>
  <c r="AN188" i="8" s="1"/>
  <c r="AZ188" i="8" s="1"/>
  <c r="P188" i="8" s="1"/>
  <c r="T81" i="4" a="1"/>
  <c r="T81" i="4" s="1"/>
  <c r="AC147" i="5" s="1"/>
  <c r="AL172" i="8" s="1"/>
  <c r="AX172" i="8" s="1"/>
  <c r="N172" i="8" s="1"/>
  <c r="C98" i="4"/>
  <c r="C163" i="5" s="1"/>
  <c r="H15" i="4"/>
  <c r="K181" i="5" s="1"/>
  <c r="AF202" i="8" s="1"/>
  <c r="AR202" i="8" s="1"/>
  <c r="H202" i="8" s="1"/>
  <c r="U13" i="4" a="1"/>
  <c r="U13" i="4" s="1"/>
  <c r="AD142" i="5" s="1"/>
  <c r="C189" i="4"/>
  <c r="C167" i="5" s="1"/>
  <c r="E17" i="4"/>
  <c r="F184" i="5" s="1"/>
  <c r="AX183" i="5"/>
  <c r="AA16" i="8"/>
  <c r="C70" i="4"/>
  <c r="C172" i="5" s="1"/>
  <c r="U156" i="4" a="1"/>
  <c r="U156" i="4" s="1"/>
  <c r="AD211" i="5" s="1"/>
  <c r="T225" i="4" a="1"/>
  <c r="T225" i="4" s="1"/>
  <c r="AC196" i="5" s="1"/>
  <c r="AL215" i="8" s="1"/>
  <c r="E160" i="4"/>
  <c r="F216" i="5" s="1"/>
  <c r="Y247" i="4"/>
  <c r="AJ231" i="5" s="1"/>
  <c r="D159" i="4"/>
  <c r="E215" i="5" s="1"/>
  <c r="AD23" i="8" s="1"/>
  <c r="U160" i="4" a="1"/>
  <c r="U160" i="4" s="1"/>
  <c r="AD216" i="5" s="1"/>
  <c r="Z102" i="4"/>
  <c r="AL266" i="5" s="1"/>
  <c r="Z216" i="4"/>
  <c r="AL223" i="5" s="1"/>
  <c r="D167" i="4"/>
  <c r="E247" i="5" s="1"/>
  <c r="O217" i="4"/>
  <c r="U227" i="5" s="1"/>
  <c r="Q116" i="4"/>
  <c r="X256" i="5" s="1"/>
  <c r="U48" i="4" a="1"/>
  <c r="U48" i="4" s="1"/>
  <c r="AD233" i="5" s="1"/>
  <c r="Y66" i="4"/>
  <c r="AJ277" i="5" s="1"/>
  <c r="X201" i="4"/>
  <c r="AI249" i="5" s="1"/>
  <c r="AN259" i="8" s="1"/>
  <c r="AZ259" i="8" s="1"/>
  <c r="P259" i="8" s="1"/>
  <c r="T166" i="4" a="1"/>
  <c r="T166" i="4" s="1"/>
  <c r="AC246" i="5" s="1"/>
  <c r="AL257" i="8" s="1"/>
  <c r="AX257" i="8" s="1"/>
  <c r="N257" i="8" s="1"/>
  <c r="T228" i="4" a="1"/>
  <c r="T228" i="4" s="1"/>
  <c r="AC218" i="5" s="1"/>
  <c r="AL231" i="8" s="1"/>
  <c r="P204" i="4"/>
  <c r="W251" i="5" s="1"/>
  <c r="AJ261" i="8" s="1"/>
  <c r="L200" i="4"/>
  <c r="Q244" i="5" s="1"/>
  <c r="AH255" i="8" s="1"/>
  <c r="AT255" i="8" s="1"/>
  <c r="J255" i="8" s="1"/>
  <c r="X57" i="4"/>
  <c r="AI257" i="5" s="1"/>
  <c r="AN266" i="8" s="1"/>
  <c r="AZ266" i="8" s="1"/>
  <c r="P266" i="8" s="1"/>
  <c r="U190" i="4" a="1"/>
  <c r="U190" i="4" s="1"/>
  <c r="AD281" i="5" s="1"/>
  <c r="C217" i="4"/>
  <c r="C227" i="5" s="1"/>
  <c r="Y259" i="4"/>
  <c r="AJ297" i="5" s="1"/>
  <c r="X235" i="4"/>
  <c r="AI253" i="5" s="1"/>
  <c r="AN263" i="8" s="1"/>
  <c r="AZ263" i="8" s="1"/>
  <c r="P263" i="8" s="1"/>
  <c r="V320" i="4"/>
  <c r="AF320" i="5" s="1"/>
  <c r="Y176" i="4"/>
  <c r="AJ267" i="5" s="1"/>
  <c r="L259" i="4"/>
  <c r="Q297" i="5" s="1"/>
  <c r="AH303" i="8" s="1"/>
  <c r="AT303" i="8" s="1"/>
  <c r="J303" i="8" s="1"/>
  <c r="Q27" i="4"/>
  <c r="X264" i="5" s="1"/>
  <c r="Y287" i="4"/>
  <c r="AJ287" i="5" s="1"/>
  <c r="J322" i="4"/>
  <c r="N325" i="5" s="1"/>
  <c r="O335" i="4"/>
  <c r="U323" i="5" s="1"/>
  <c r="O342" i="4"/>
  <c r="U334" i="5" s="1"/>
  <c r="X345" i="4"/>
  <c r="AI337" i="5" s="1"/>
  <c r="AN337" i="8" s="1"/>
  <c r="AZ337" i="8" s="1"/>
  <c r="P337" i="8" s="1"/>
  <c r="Y346" i="4"/>
  <c r="AJ340" i="5" s="1"/>
  <c r="O346" i="4"/>
  <c r="U340" i="5" s="1"/>
  <c r="Y343" i="4"/>
  <c r="AJ330" i="5" s="1"/>
  <c r="L342" i="4"/>
  <c r="Q334" i="5" s="1"/>
  <c r="AH334" i="8" s="1"/>
  <c r="AT334" i="8" s="1"/>
  <c r="J334" i="8" s="1"/>
  <c r="Q370" i="4"/>
  <c r="X354" i="5" s="1"/>
  <c r="M341" i="4"/>
  <c r="R333" i="5" s="1"/>
  <c r="D354" i="4"/>
  <c r="E370" i="5" s="1"/>
  <c r="C375" i="4"/>
  <c r="C375" i="5" s="1"/>
  <c r="R371" i="8" s="1"/>
  <c r="X348" i="4"/>
  <c r="AI351" i="5" s="1"/>
  <c r="AN32" i="8" s="1"/>
  <c r="AZ32" i="8" s="1"/>
  <c r="P32" i="8" s="1"/>
  <c r="X351" i="4"/>
  <c r="AI341" i="5" s="1"/>
  <c r="AN341" i="8" s="1"/>
  <c r="AZ341" i="8" s="1"/>
  <c r="P341" i="8" s="1"/>
  <c r="Q403" i="4"/>
  <c r="X393" i="5" s="1"/>
  <c r="H76" i="8"/>
  <c r="C367" i="4"/>
  <c r="C368" i="5" s="1"/>
  <c r="R366" i="8" s="1"/>
  <c r="C370" i="4"/>
  <c r="C354" i="5" s="1"/>
  <c r="R353" i="8" s="1"/>
  <c r="C360" i="4"/>
  <c r="C364" i="5" s="1"/>
  <c r="R362" i="8" s="1"/>
  <c r="C356" i="4"/>
  <c r="C366" i="5" s="1"/>
  <c r="R364" i="8" s="1"/>
  <c r="C366" i="4"/>
  <c r="C367" i="5" s="1"/>
  <c r="R365" i="8" s="1"/>
  <c r="C369" i="4"/>
  <c r="C353" i="5" s="1"/>
  <c r="R352" i="8" s="1"/>
  <c r="C368" i="4"/>
  <c r="C369" i="5" s="1"/>
  <c r="R367" i="8" s="1"/>
  <c r="AS307" i="5"/>
  <c r="AK49" i="2"/>
  <c r="AG309" i="8"/>
  <c r="Y280" i="4"/>
  <c r="AJ290" i="5" s="1"/>
  <c r="Y281" i="4"/>
  <c r="AJ292" i="5" s="1"/>
  <c r="Y274" i="4"/>
  <c r="AJ288" i="5" s="1"/>
  <c r="Y270" i="4"/>
  <c r="AJ291" i="5" s="1"/>
  <c r="Y257" i="4"/>
  <c r="Y258" i="4"/>
  <c r="Q127" i="4"/>
  <c r="X171" i="5" s="1"/>
  <c r="Q182" i="4"/>
  <c r="X11" i="5" s="1"/>
  <c r="Q184" i="4"/>
  <c r="X132" i="5" s="1"/>
  <c r="Q219" i="4"/>
  <c r="X265" i="5" s="1"/>
  <c r="Q137" i="4"/>
  <c r="X260" i="5" s="1"/>
  <c r="Q209" i="4"/>
  <c r="X259" i="5" s="1"/>
  <c r="E311" i="4"/>
  <c r="E330" i="4"/>
  <c r="E324" i="4"/>
  <c r="E338" i="4"/>
  <c r="E332" i="4"/>
  <c r="E340" i="4"/>
  <c r="E304" i="4"/>
  <c r="AU307" i="5"/>
  <c r="X309" i="8"/>
  <c r="Q304" i="4"/>
  <c r="X304" i="5" s="1"/>
  <c r="Q340" i="4"/>
  <c r="X331" i="5" s="1"/>
  <c r="Q338" i="4"/>
  <c r="X332" i="5" s="1"/>
  <c r="I231" i="4"/>
  <c r="L221" i="5" s="1"/>
  <c r="I85" i="4"/>
  <c r="L224" i="5" s="1"/>
  <c r="O369" i="4"/>
  <c r="U353" i="5" s="1"/>
  <c r="O368" i="4"/>
  <c r="U369" i="5" s="1"/>
  <c r="O356" i="4"/>
  <c r="U366" i="5" s="1"/>
  <c r="O370" i="4"/>
  <c r="U354" i="5" s="1"/>
  <c r="O360" i="4"/>
  <c r="U364" i="5" s="1"/>
  <c r="O367" i="4"/>
  <c r="U368" i="5" s="1"/>
  <c r="O358" i="4"/>
  <c r="U352" i="5" s="1"/>
  <c r="O365" i="4"/>
  <c r="U365" i="5" s="1"/>
  <c r="Q133" i="4"/>
  <c r="X226" i="5" s="1"/>
  <c r="Q195" i="4"/>
  <c r="X228" i="5" s="1"/>
  <c r="Q231" i="4"/>
  <c r="X221" i="5" s="1"/>
  <c r="F220" i="8"/>
  <c r="D304" i="4"/>
  <c r="E304" i="5" s="1"/>
  <c r="D332" i="4"/>
  <c r="E349" i="5" s="1"/>
  <c r="D338" i="4"/>
  <c r="E332" i="5" s="1"/>
  <c r="V305" i="4"/>
  <c r="AF314" i="5" s="1"/>
  <c r="V306" i="4"/>
  <c r="AF315" i="5" s="1"/>
  <c r="V323" i="4"/>
  <c r="AF326" i="5" s="1"/>
  <c r="V351" i="4"/>
  <c r="AF341" i="5" s="1"/>
  <c r="X133" i="4"/>
  <c r="AI226" i="5" s="1"/>
  <c r="AN239" i="8" s="1"/>
  <c r="X231" i="4"/>
  <c r="AI221" i="5" s="1"/>
  <c r="AN234" i="8" s="1"/>
  <c r="AZ234" i="8" s="1"/>
  <c r="P234" i="8" s="1"/>
  <c r="AV210" i="8"/>
  <c r="Z82" i="4"/>
  <c r="AL158" i="5" s="1"/>
  <c r="Z84" i="4"/>
  <c r="AL160" i="5" s="1"/>
  <c r="Z157" i="4"/>
  <c r="AL212" i="5" s="1"/>
  <c r="Z155" i="4"/>
  <c r="AL209" i="5" s="1"/>
  <c r="Z156" i="4"/>
  <c r="AL211" i="5" s="1"/>
  <c r="Z288" i="4"/>
  <c r="AL214" i="5" s="1"/>
  <c r="Z193" i="4"/>
  <c r="AL210" i="5" s="1"/>
  <c r="X205" i="8"/>
  <c r="AU185" i="5"/>
  <c r="F210" i="8"/>
  <c r="E326" i="4"/>
  <c r="E327" i="4"/>
  <c r="E328" i="4"/>
  <c r="E346" i="4"/>
  <c r="E333" i="4"/>
  <c r="E337" i="4"/>
  <c r="E318" i="4"/>
  <c r="D265" i="4"/>
  <c r="E6" i="5" s="1"/>
  <c r="D221" i="4"/>
  <c r="E80" i="5" s="1"/>
  <c r="D11" i="4"/>
  <c r="E255" i="5" s="1"/>
  <c r="D279" i="4"/>
  <c r="E286" i="5" s="1"/>
  <c r="D263" i="4"/>
  <c r="E289" i="5" s="1"/>
  <c r="D287" i="4"/>
  <c r="E287" i="5" s="1"/>
  <c r="D112" i="4"/>
  <c r="E274" i="5" s="1"/>
  <c r="Q302" i="4"/>
  <c r="X77" i="5" s="1"/>
  <c r="Q173" i="4"/>
  <c r="X78" i="5" s="1"/>
  <c r="Q18" i="4"/>
  <c r="X185" i="5" s="1"/>
  <c r="Q24" i="4"/>
  <c r="X182" i="5" s="1"/>
  <c r="Q14" i="4"/>
  <c r="X180" i="5" s="1"/>
  <c r="F203" i="4"/>
  <c r="F225" i="4"/>
  <c r="F239" i="4"/>
  <c r="J13" i="4"/>
  <c r="N142" i="5" s="1"/>
  <c r="J27" i="4"/>
  <c r="N264" i="5" s="1"/>
  <c r="J284" i="4"/>
  <c r="J241" i="4"/>
  <c r="J293" i="4"/>
  <c r="J63" i="4"/>
  <c r="J285" i="4"/>
  <c r="J77" i="4"/>
  <c r="J286" i="4"/>
  <c r="J278" i="4"/>
  <c r="J290" i="4"/>
  <c r="X237" i="4"/>
  <c r="AI104" i="5" s="1"/>
  <c r="AN133" i="8" s="1"/>
  <c r="AZ133" i="8" s="1"/>
  <c r="P133" i="8" s="1"/>
  <c r="X228" i="4"/>
  <c r="AI218" i="5" s="1"/>
  <c r="AN231" i="8" s="1"/>
  <c r="AZ231" i="8" s="1"/>
  <c r="P231" i="8" s="1"/>
  <c r="BJ87" i="2"/>
  <c r="BJ88" i="2"/>
  <c r="D122" i="4"/>
  <c r="E141" i="5" s="1"/>
  <c r="AD166" i="8" s="1"/>
  <c r="D246" i="4"/>
  <c r="E230" i="5" s="1"/>
  <c r="AD242" i="8" s="1"/>
  <c r="D194" i="4"/>
  <c r="E27" i="5" s="1"/>
  <c r="AD60" i="8" s="1"/>
  <c r="D123" i="4"/>
  <c r="E145" i="5" s="1"/>
  <c r="AD170" i="8" s="1"/>
  <c r="AP170" i="8" s="1"/>
  <c r="D245" i="4"/>
  <c r="E229" i="5" s="1"/>
  <c r="AD241" i="8" s="1"/>
  <c r="L265" i="4"/>
  <c r="Q6" i="5" s="1"/>
  <c r="AH42" i="8" s="1"/>
  <c r="AT42" i="8" s="1"/>
  <c r="J42" i="8" s="1"/>
  <c r="L221" i="4"/>
  <c r="Q80" i="5" s="1"/>
  <c r="AH109" i="8" s="1"/>
  <c r="AT109" i="8" s="1"/>
  <c r="J109" i="8" s="1"/>
  <c r="L11" i="4"/>
  <c r="Q255" i="5" s="1"/>
  <c r="AH264" i="8" s="1"/>
  <c r="AT264" i="8" s="1"/>
  <c r="J264" i="8" s="1"/>
  <c r="L112" i="4"/>
  <c r="Q274" i="5" s="1"/>
  <c r="AH282" i="8" s="1"/>
  <c r="AT282" i="8" s="1"/>
  <c r="J282" i="8" s="1"/>
  <c r="L279" i="4"/>
  <c r="Q286" i="5" s="1"/>
  <c r="AH293" i="8" s="1"/>
  <c r="AT293" i="8" s="1"/>
  <c r="J293" i="8" s="1"/>
  <c r="L263" i="4"/>
  <c r="Q289" i="5" s="1"/>
  <c r="AH296" i="8" s="1"/>
  <c r="AT296" i="8" s="1"/>
  <c r="J296" i="8" s="1"/>
  <c r="Q191" i="4"/>
  <c r="X282" i="5" s="1"/>
  <c r="Q129" i="4"/>
  <c r="X283" i="5" s="1"/>
  <c r="Q190" i="4"/>
  <c r="X281" i="5" s="1"/>
  <c r="S71" i="4"/>
  <c r="AA190" i="5" s="1"/>
  <c r="S222" i="4"/>
  <c r="AA269" i="5" s="1"/>
  <c r="N215" i="4"/>
  <c r="T26" i="5" s="1"/>
  <c r="AI59" i="8" s="1"/>
  <c r="N213" i="4"/>
  <c r="T24" i="5" s="1"/>
  <c r="AI57" i="8" s="1"/>
  <c r="N214" i="4"/>
  <c r="T25" i="5" s="1"/>
  <c r="AI58" i="8" s="1"/>
  <c r="M274" i="4"/>
  <c r="R288" i="5" s="1"/>
  <c r="M270" i="4"/>
  <c r="R291" i="5" s="1"/>
  <c r="M280" i="4"/>
  <c r="R290" i="5" s="1"/>
  <c r="M281" i="4"/>
  <c r="R292" i="5" s="1"/>
  <c r="P191" i="4"/>
  <c r="W282" i="5" s="1"/>
  <c r="AJ289" i="8" s="1"/>
  <c r="P129" i="4"/>
  <c r="W283" i="5" s="1"/>
  <c r="AJ290" i="8" s="1"/>
  <c r="P190" i="4"/>
  <c r="W281" i="5" s="1"/>
  <c r="AJ288" i="8" s="1"/>
  <c r="Z48" i="8"/>
  <c r="T360" i="4"/>
  <c r="AC364" i="5" s="1"/>
  <c r="AL362" i="8" s="1"/>
  <c r="T370" i="4"/>
  <c r="AC354" i="5" s="1"/>
  <c r="AL353" i="8" s="1"/>
  <c r="T366" i="4"/>
  <c r="AC367" i="5" s="1"/>
  <c r="AL365" i="8" s="1"/>
  <c r="T356" i="4"/>
  <c r="AC366" i="5" s="1"/>
  <c r="AL364" i="8" s="1"/>
  <c r="T358" i="4"/>
  <c r="AC352" i="5" s="1"/>
  <c r="AL351" i="8" s="1"/>
  <c r="T367" i="4"/>
  <c r="AC368" i="5" s="1"/>
  <c r="AL366" i="8" s="1"/>
  <c r="T368" i="4"/>
  <c r="AC369" i="5" s="1"/>
  <c r="AL367" i="8" s="1"/>
  <c r="T365" i="4"/>
  <c r="AC365" i="5" s="1"/>
  <c r="AL363" i="8" s="1"/>
  <c r="C223" i="4"/>
  <c r="C15" i="5" s="1"/>
  <c r="C82" i="4"/>
  <c r="C158" i="5" s="1"/>
  <c r="C84" i="4"/>
  <c r="C160" i="5" s="1"/>
  <c r="C157" i="4"/>
  <c r="C212" i="5" s="1"/>
  <c r="C155" i="4"/>
  <c r="C209" i="5" s="1"/>
  <c r="C156" i="4"/>
  <c r="C211" i="5" s="1"/>
  <c r="C158" i="4"/>
  <c r="C258" i="5" s="1"/>
  <c r="AY35" i="5"/>
  <c r="AB66" i="8"/>
  <c r="AS94" i="2"/>
  <c r="AS93" i="2"/>
  <c r="Q141" i="4"/>
  <c r="X123" i="5" s="1"/>
  <c r="Q144" i="4"/>
  <c r="X155" i="5" s="1"/>
  <c r="Q161" i="4"/>
  <c r="X217" i="5" s="1"/>
  <c r="O277" i="4"/>
  <c r="U301" i="5" s="1"/>
  <c r="AU301" i="5" s="1"/>
  <c r="O169" i="4"/>
  <c r="U54" i="5" s="1"/>
  <c r="O90" i="4"/>
  <c r="U82" i="5" s="1"/>
  <c r="Y237" i="4"/>
  <c r="AJ104" i="5" s="1"/>
  <c r="Y242" i="4"/>
  <c r="AJ146" i="5" s="1"/>
  <c r="Y228" i="4"/>
  <c r="AJ218" i="5" s="1"/>
  <c r="BK87" i="2"/>
  <c r="BK88" i="2"/>
  <c r="AO220" i="8"/>
  <c r="BA202" i="5"/>
  <c r="F211" i="4"/>
  <c r="F213" i="4"/>
  <c r="F214" i="4"/>
  <c r="F215" i="4"/>
  <c r="I35" i="4"/>
  <c r="I207" i="4"/>
  <c r="I135" i="4"/>
  <c r="I113" i="4"/>
  <c r="I259" i="4"/>
  <c r="P274" i="4"/>
  <c r="W288" i="5" s="1"/>
  <c r="AJ295" i="8" s="1"/>
  <c r="P270" i="4"/>
  <c r="W291" i="5" s="1"/>
  <c r="AJ298" i="8" s="1"/>
  <c r="P280" i="4"/>
  <c r="W290" i="5" s="1"/>
  <c r="AJ297" i="8" s="1"/>
  <c r="P281" i="4"/>
  <c r="W292" i="5" s="1"/>
  <c r="AJ299" i="8" s="1"/>
  <c r="O223" i="4"/>
  <c r="U15" i="5" s="1"/>
  <c r="O82" i="4"/>
  <c r="U158" i="5" s="1"/>
  <c r="O84" i="4"/>
  <c r="U160" i="5" s="1"/>
  <c r="O193" i="4"/>
  <c r="U210" i="5" s="1"/>
  <c r="O158" i="4"/>
  <c r="U258" i="5" s="1"/>
  <c r="O155" i="4"/>
  <c r="U209" i="5" s="1"/>
  <c r="O156" i="4"/>
  <c r="U211" i="5" s="1"/>
  <c r="AP131" i="8"/>
  <c r="Z127" i="4"/>
  <c r="AL171" i="5" s="1"/>
  <c r="Z182" i="4"/>
  <c r="AL11" i="5" s="1"/>
  <c r="Z120" i="4"/>
  <c r="AL93" i="5" s="1"/>
  <c r="Z184" i="4"/>
  <c r="AL132" i="5" s="1"/>
  <c r="Z209" i="4"/>
  <c r="AL259" i="5" s="1"/>
  <c r="Z219" i="4"/>
  <c r="AL265" i="5" s="1"/>
  <c r="Z137" i="4"/>
  <c r="AL260" i="5" s="1"/>
  <c r="Z240" i="4"/>
  <c r="O282" i="4"/>
  <c r="U222" i="5" s="1"/>
  <c r="O74" i="4"/>
  <c r="U208" i="5" s="1"/>
  <c r="X229" i="4"/>
  <c r="AI28" i="5" s="1"/>
  <c r="AN4" i="8" s="1"/>
  <c r="X2" i="4"/>
  <c r="X250" i="4"/>
  <c r="AI103" i="5" s="1"/>
  <c r="AN132" i="8" s="1"/>
  <c r="AZ132" i="8" s="1"/>
  <c r="P132" i="8" s="1"/>
  <c r="X256" i="4"/>
  <c r="AI213" i="5" s="1"/>
  <c r="AN228" i="8" s="1"/>
  <c r="X230" i="4"/>
  <c r="AI220" i="5" s="1"/>
  <c r="AN233" i="8" s="1"/>
  <c r="X29" i="4"/>
  <c r="AI268" i="5" s="1"/>
  <c r="AN276" i="8" s="1"/>
  <c r="AZ276" i="8" s="1"/>
  <c r="P276" i="8" s="1"/>
  <c r="X244" i="4"/>
  <c r="AI219" i="5" s="1"/>
  <c r="D151" i="4"/>
  <c r="E204" i="5" s="1"/>
  <c r="D152" i="4"/>
  <c r="E205" i="5" s="1"/>
  <c r="C272" i="4"/>
  <c r="C50" i="5" s="1"/>
  <c r="C205" i="4"/>
  <c r="C53" i="5" s="1"/>
  <c r="Y213" i="4"/>
  <c r="AJ24" i="5" s="1"/>
  <c r="Y214" i="4"/>
  <c r="AJ25" i="5" s="1"/>
  <c r="Y215" i="4"/>
  <c r="AJ26" i="5" s="1"/>
  <c r="Y211" i="4"/>
  <c r="AJ22" i="5" s="1"/>
  <c r="W5" i="4"/>
  <c r="AG61" i="5" s="1"/>
  <c r="W9" i="4"/>
  <c r="AG188" i="5" s="1"/>
  <c r="Y82" i="4"/>
  <c r="AJ158" i="5" s="1"/>
  <c r="Y155" i="4"/>
  <c r="AJ209" i="5" s="1"/>
  <c r="Y156" i="4"/>
  <c r="AJ211" i="5" s="1"/>
  <c r="Y84" i="4"/>
  <c r="AJ160" i="5" s="1"/>
  <c r="Y157" i="4"/>
  <c r="AJ212" i="5" s="1"/>
  <c r="Y158" i="4"/>
  <c r="AJ258" i="5" s="1"/>
  <c r="Y193" i="4"/>
  <c r="AJ210" i="5" s="1"/>
  <c r="C372" i="4"/>
  <c r="C356" i="5" s="1"/>
  <c r="R355" i="8" s="1"/>
  <c r="C353" i="4"/>
  <c r="C360" i="5" s="1"/>
  <c r="R359" i="8" s="1"/>
  <c r="C361" i="4"/>
  <c r="C371" i="5" s="1"/>
  <c r="R368" i="8" s="1"/>
  <c r="C352" i="4"/>
  <c r="C358" i="5" s="1"/>
  <c r="R357" i="8" s="1"/>
  <c r="C364" i="4"/>
  <c r="C359" i="5" s="1"/>
  <c r="R358" i="8" s="1"/>
  <c r="C355" i="4"/>
  <c r="C362" i="5" s="1"/>
  <c r="R33" i="8" s="1"/>
  <c r="C362" i="4"/>
  <c r="C373" i="5" s="1"/>
  <c r="R370" i="8" s="1"/>
  <c r="C354" i="4"/>
  <c r="C370" i="5" s="1"/>
  <c r="R34" i="8" s="1"/>
  <c r="C363" i="4"/>
  <c r="C372" i="5" s="1"/>
  <c r="R369" i="8" s="1"/>
  <c r="AO94" i="2"/>
  <c r="AO93" i="2"/>
  <c r="C371" i="4"/>
  <c r="C355" i="5" s="1"/>
  <c r="R354" i="8" s="1"/>
  <c r="C373" i="4"/>
  <c r="C357" i="5" s="1"/>
  <c r="R356" i="8" s="1"/>
  <c r="C359" i="4"/>
  <c r="C363" i="5" s="1"/>
  <c r="R361" i="8" s="1"/>
  <c r="H82" i="4"/>
  <c r="K158" i="5" s="1"/>
  <c r="H155" i="4"/>
  <c r="K209" i="5" s="1"/>
  <c r="H156" i="4"/>
  <c r="K211" i="5" s="1"/>
  <c r="H84" i="4"/>
  <c r="K160" i="5" s="1"/>
  <c r="H83" i="4"/>
  <c r="K159" i="5" s="1"/>
  <c r="H193" i="4"/>
  <c r="K210" i="5" s="1"/>
  <c r="H157" i="4"/>
  <c r="K212" i="5" s="1"/>
  <c r="Y93" i="4"/>
  <c r="AJ112" i="5" s="1"/>
  <c r="Y143" i="4"/>
  <c r="AJ126" i="5" s="1"/>
  <c r="Y139" i="4"/>
  <c r="AJ110" i="5" s="1"/>
  <c r="Y92" i="4"/>
  <c r="AJ111" i="5" s="1"/>
  <c r="Y227" i="4"/>
  <c r="AJ203" i="5" s="1"/>
  <c r="Y198" i="4"/>
  <c r="AJ235" i="5" s="1"/>
  <c r="Y100" i="4"/>
  <c r="AJ238" i="5" s="1"/>
  <c r="Y118" i="4"/>
  <c r="AJ236" i="5" s="1"/>
  <c r="Y197" i="4"/>
  <c r="AJ234" i="5" s="1"/>
  <c r="Y415" i="4"/>
  <c r="AJ409" i="5" s="1"/>
  <c r="P130" i="4"/>
  <c r="W5" i="5" s="1"/>
  <c r="AJ2" i="8" s="1"/>
  <c r="AV2" i="8" s="1"/>
  <c r="L2" i="8" s="1"/>
  <c r="P22" i="4"/>
  <c r="W12" i="5" s="1"/>
  <c r="AJ3" i="8" s="1"/>
  <c r="P59" i="4"/>
  <c r="W45" i="5" s="1"/>
  <c r="AJ76" i="8" s="1"/>
  <c r="P299" i="4"/>
  <c r="W154" i="5" s="1"/>
  <c r="AJ178" i="8" s="1"/>
  <c r="P395" i="4"/>
  <c r="W397" i="5" s="1"/>
  <c r="AJ390" i="8" s="1"/>
  <c r="AV390" i="8" s="1"/>
  <c r="L390" i="8" s="1"/>
  <c r="P399" i="4"/>
  <c r="W406" i="5" s="1"/>
  <c r="AJ398" i="8" s="1"/>
  <c r="AV398" i="8" s="1"/>
  <c r="L398" i="8" s="1"/>
  <c r="P394" i="4"/>
  <c r="W396" i="5" s="1"/>
  <c r="AJ389" i="8" s="1"/>
  <c r="AV389" i="8" s="1"/>
  <c r="L389" i="8" s="1"/>
  <c r="P396" i="4"/>
  <c r="W398" i="5" s="1"/>
  <c r="AJ391" i="8" s="1"/>
  <c r="AV391" i="8" s="1"/>
  <c r="L391" i="8" s="1"/>
  <c r="P404" i="4"/>
  <c r="W394" i="5" s="1"/>
  <c r="AJ387" i="8" s="1"/>
  <c r="AV387" i="8" s="1"/>
  <c r="L387" i="8" s="1"/>
  <c r="P400" i="4"/>
  <c r="W407" i="5" s="1"/>
  <c r="AJ38" i="8" s="1"/>
  <c r="AV38" i="8" s="1"/>
  <c r="L38" i="8" s="1"/>
  <c r="D229" i="4"/>
  <c r="E28" i="5" s="1"/>
  <c r="AD4" i="8" s="1"/>
  <c r="D2" i="4"/>
  <c r="D20" i="4"/>
  <c r="E187" i="5" s="1"/>
  <c r="AD207" i="8" s="1"/>
  <c r="D29" i="4"/>
  <c r="E268" i="5" s="1"/>
  <c r="AD276" i="8" s="1"/>
  <c r="D256" i="4"/>
  <c r="E213" i="5" s="1"/>
  <c r="AD228" i="8" s="1"/>
  <c r="D244" i="4"/>
  <c r="E219" i="5" s="1"/>
  <c r="AD232" i="8" s="1"/>
  <c r="D230" i="4"/>
  <c r="E220" i="5" s="1"/>
  <c r="AD233" i="8" s="1"/>
  <c r="P210" i="4"/>
  <c r="W21" i="5" s="1"/>
  <c r="AJ54" i="8" s="1"/>
  <c r="P212" i="4"/>
  <c r="W23" i="5" s="1"/>
  <c r="AJ56" i="8" s="1"/>
  <c r="P148" i="4"/>
  <c r="W200" i="5" s="1"/>
  <c r="AJ18" i="8" s="1"/>
  <c r="P234" i="4"/>
  <c r="W30" i="5" s="1"/>
  <c r="AJ62" i="8" s="1"/>
  <c r="P272" i="4"/>
  <c r="W50" i="5" s="1"/>
  <c r="AJ79" i="8" s="1"/>
  <c r="AV79" i="8" s="1"/>
  <c r="L79" i="8" s="1"/>
  <c r="P205" i="4"/>
  <c r="W53" i="5" s="1"/>
  <c r="AJ82" i="8" s="1"/>
  <c r="AV82" i="8" s="1"/>
  <c r="L82" i="8" s="1"/>
  <c r="L45" i="4"/>
  <c r="Q31" i="5" s="1"/>
  <c r="AH5" i="8" s="1"/>
  <c r="AT5" i="8" s="1"/>
  <c r="J5" i="8" s="1"/>
  <c r="L46" i="4"/>
  <c r="Q32" i="5" s="1"/>
  <c r="AH63" i="8" s="1"/>
  <c r="AT63" i="8" s="1"/>
  <c r="J63" i="8" s="1"/>
  <c r="L49" i="4"/>
  <c r="Q34" i="5" s="1"/>
  <c r="AH65" i="8" s="1"/>
  <c r="AT65" i="8" s="1"/>
  <c r="J65" i="8" s="1"/>
  <c r="L47" i="4"/>
  <c r="Q33" i="5" s="1"/>
  <c r="AH64" i="8" s="1"/>
  <c r="AT64" i="8" s="1"/>
  <c r="J64" i="8" s="1"/>
  <c r="L5" i="4"/>
  <c r="Q61" i="5" s="1"/>
  <c r="L34" i="4"/>
  <c r="Q149" i="5" s="1"/>
  <c r="L7" i="4"/>
  <c r="Q176" i="5" s="1"/>
  <c r="L9" i="4"/>
  <c r="Q188" i="5" s="1"/>
  <c r="L48" i="4"/>
  <c r="Q233" i="5" s="1"/>
  <c r="AH245" i="8" s="1"/>
  <c r="AT245" i="8" s="1"/>
  <c r="J245" i="8" s="1"/>
  <c r="L183" i="4"/>
  <c r="Q271" i="5" s="1"/>
  <c r="L267" i="4"/>
  <c r="Q73" i="5" s="1"/>
  <c r="AH102" i="8" s="1"/>
  <c r="AT102" i="8" s="1"/>
  <c r="J102" i="8" s="1"/>
  <c r="L142" i="4"/>
  <c r="Q125" i="5" s="1"/>
  <c r="AH11" i="8" s="1"/>
  <c r="AT11" i="8" s="1"/>
  <c r="J11" i="8" s="1"/>
  <c r="L97" i="4"/>
  <c r="Q130" i="5" s="1"/>
  <c r="AH155" i="8" s="1"/>
  <c r="AT155" i="8" s="1"/>
  <c r="J155" i="8" s="1"/>
  <c r="L269" i="4"/>
  <c r="Q2" i="5" s="1"/>
  <c r="AH39" i="8" s="1"/>
  <c r="AT39" i="8" s="1"/>
  <c r="J39" i="8" s="1"/>
  <c r="F80" i="4"/>
  <c r="F81" i="4"/>
  <c r="AC220" i="8"/>
  <c r="AZ202" i="5"/>
  <c r="J272" i="4"/>
  <c r="J205" i="4"/>
  <c r="J234" i="4"/>
  <c r="X60" i="4"/>
  <c r="AI66" i="5" s="1"/>
  <c r="AN95" i="8" s="1"/>
  <c r="AZ95" i="8" s="1"/>
  <c r="P95" i="8" s="1"/>
  <c r="X185" i="4"/>
  <c r="AI136" i="5" s="1"/>
  <c r="AN161" i="8" s="1"/>
  <c r="AZ161" i="8" s="1"/>
  <c r="P161" i="8" s="1"/>
  <c r="X10" i="4"/>
  <c r="AI254" i="5" s="1"/>
  <c r="AN26" i="8" s="1"/>
  <c r="AZ26" i="8" s="1"/>
  <c r="P26" i="8" s="1"/>
  <c r="X125" i="4"/>
  <c r="AI278" i="5" s="1"/>
  <c r="AN286" i="8" s="1"/>
  <c r="X398" i="4"/>
  <c r="AI405" i="5" s="1"/>
  <c r="AN397" i="8" s="1"/>
  <c r="AZ397" i="8" s="1"/>
  <c r="P397" i="8" s="1"/>
  <c r="X401" i="4"/>
  <c r="AI408" i="5" s="1"/>
  <c r="AN399" i="8" s="1"/>
  <c r="AZ399" i="8" s="1"/>
  <c r="P399" i="8" s="1"/>
  <c r="X393" i="4"/>
  <c r="AI392" i="5" s="1"/>
  <c r="AN36" i="8" s="1"/>
  <c r="AZ36" i="8" s="1"/>
  <c r="P36" i="8" s="1"/>
  <c r="X409" i="4"/>
  <c r="AI403" i="5" s="1"/>
  <c r="AN395" i="8" s="1"/>
  <c r="AZ395" i="8" s="1"/>
  <c r="P395" i="8" s="1"/>
  <c r="X414" i="4"/>
  <c r="AI415" i="5" s="1"/>
  <c r="AN406" i="8" s="1"/>
  <c r="AZ406" i="8" s="1"/>
  <c r="P406" i="8" s="1"/>
  <c r="X413" i="4"/>
  <c r="AI414" i="5" s="1"/>
  <c r="AN405" i="8" s="1"/>
  <c r="AZ405" i="8" s="1"/>
  <c r="P405" i="8" s="1"/>
  <c r="X38" i="4"/>
  <c r="X218" i="4"/>
  <c r="R237" i="4"/>
  <c r="R228" i="4"/>
  <c r="R242" i="4"/>
  <c r="BD88" i="2"/>
  <c r="BD87" i="2"/>
  <c r="W222" i="8"/>
  <c r="AL37" i="2"/>
  <c r="AT207" i="5"/>
  <c r="R264" i="4"/>
  <c r="R254" i="4"/>
  <c r="R255" i="4"/>
  <c r="R301" i="4"/>
  <c r="R226" i="4"/>
  <c r="R294" i="4"/>
  <c r="C277" i="4"/>
  <c r="C301" i="5" s="1"/>
  <c r="C169" i="4"/>
  <c r="C54" i="5" s="1"/>
  <c r="C91" i="4"/>
  <c r="C92" i="5" s="1"/>
  <c r="C90" i="4"/>
  <c r="C82" i="5" s="1"/>
  <c r="Y248" i="4"/>
  <c r="AJ76" i="5" s="1"/>
  <c r="Y291" i="4"/>
  <c r="AJ101" i="5" s="1"/>
  <c r="Y268" i="4"/>
  <c r="AJ100" i="5" s="1"/>
  <c r="Y252" i="4"/>
  <c r="AJ157" i="5" s="1"/>
  <c r="Y300" i="4"/>
  <c r="AJ153" i="5" s="1"/>
  <c r="Y292" i="4"/>
  <c r="AJ143" i="5" s="1"/>
  <c r="Y220" i="4"/>
  <c r="AJ9" i="5" s="1"/>
  <c r="Y208" i="4"/>
  <c r="AJ75" i="5" s="1"/>
  <c r="AC85" i="8"/>
  <c r="AZ56" i="5"/>
  <c r="Y36" i="4"/>
  <c r="AJ42" i="5" s="1"/>
  <c r="Y50" i="4"/>
  <c r="AJ38" i="5" s="1"/>
  <c r="Y52" i="4"/>
  <c r="AJ40" i="5" s="1"/>
  <c r="Y26" i="4"/>
  <c r="AJ49" i="5" s="1"/>
  <c r="Y54" i="4"/>
  <c r="AJ47" i="5" s="1"/>
  <c r="Y58" i="4"/>
  <c r="AJ41" i="5" s="1"/>
  <c r="Y3" i="4"/>
  <c r="AJ118" i="5" s="1"/>
  <c r="Y78" i="4"/>
  <c r="AJ121" i="5" s="1"/>
  <c r="Y166" i="4"/>
  <c r="AJ246" i="5" s="1"/>
  <c r="Y165" i="4"/>
  <c r="AJ245" i="5" s="1"/>
  <c r="Y168" i="4"/>
  <c r="AJ248" i="5" s="1"/>
  <c r="Y124" i="4"/>
  <c r="AJ276" i="5" s="1"/>
  <c r="Y402" i="4"/>
  <c r="AJ412" i="5" s="1"/>
  <c r="T268" i="4" a="1"/>
  <c r="T268" i="4" s="1"/>
  <c r="AC100" i="5" s="1"/>
  <c r="AL129" i="8" s="1"/>
  <c r="T93" i="4" a="1"/>
  <c r="T93" i="4" s="1"/>
  <c r="AC112" i="5" s="1"/>
  <c r="AL141" i="8" s="1"/>
  <c r="T239" i="4" a="1"/>
  <c r="T239" i="4" s="1"/>
  <c r="AC114" i="5" s="1"/>
  <c r="AL142" i="8" s="1"/>
  <c r="T291" i="4" a="1"/>
  <c r="T291" i="4" s="1"/>
  <c r="AC101" i="5" s="1"/>
  <c r="AL130" i="8" s="1"/>
  <c r="T292" i="4" a="1"/>
  <c r="T292" i="4" s="1"/>
  <c r="AC143" i="5" s="1"/>
  <c r="AL168" i="8" s="1"/>
  <c r="T71" i="4" a="1"/>
  <c r="T71" i="4" s="1"/>
  <c r="AC190" i="5" s="1"/>
  <c r="AL17" i="8" s="1"/>
  <c r="T301" i="4" a="1"/>
  <c r="T301" i="4" s="1"/>
  <c r="AC189" i="5" s="1"/>
  <c r="AL209" i="8" s="1"/>
  <c r="T119" i="4" a="1"/>
  <c r="T119" i="4" s="1"/>
  <c r="AC241" i="5" s="1"/>
  <c r="AL252" i="8" s="1"/>
  <c r="T280" i="4" a="1"/>
  <c r="T280" i="4" s="1"/>
  <c r="AC290" i="5" s="1"/>
  <c r="AL297" i="8" s="1"/>
  <c r="H69" i="4"/>
  <c r="K170" i="5" s="1"/>
  <c r="H116" i="4"/>
  <c r="K256" i="5" s="1"/>
  <c r="AI21" i="2"/>
  <c r="AG21" i="2"/>
  <c r="AF119" i="8"/>
  <c r="H62" i="4"/>
  <c r="K109" i="5" s="1"/>
  <c r="H75" i="4"/>
  <c r="K250" i="5" s="1"/>
  <c r="H262" i="4"/>
  <c r="K4" i="5" s="1"/>
  <c r="AF41" i="8" s="1"/>
  <c r="AR41" i="8" s="1"/>
  <c r="H41" i="8" s="1"/>
  <c r="H130" i="4"/>
  <c r="K5" i="5" s="1"/>
  <c r="H299" i="4"/>
  <c r="K154" i="5" s="1"/>
  <c r="S128" i="4"/>
  <c r="AA179" i="5" s="1"/>
  <c r="S149" i="4"/>
  <c r="AA201" i="5" s="1"/>
  <c r="S117" i="4"/>
  <c r="AA232" i="5" s="1"/>
  <c r="S146" i="4"/>
  <c r="AA284" i="5" s="1"/>
  <c r="S192" i="4"/>
  <c r="AA285" i="5" s="1"/>
  <c r="S45" i="4"/>
  <c r="AA31" i="5" s="1"/>
  <c r="S46" i="4"/>
  <c r="AA32" i="5" s="1"/>
  <c r="S49" i="4"/>
  <c r="AA34" i="5" s="1"/>
  <c r="S34" i="4"/>
  <c r="AA149" i="5" s="1"/>
  <c r="S48" i="4"/>
  <c r="AA233" i="5" s="1"/>
  <c r="S183" i="4"/>
  <c r="AA271" i="5" s="1"/>
  <c r="Z304" i="8"/>
  <c r="AW298" i="5"/>
  <c r="Z98" i="8"/>
  <c r="AW69" i="5"/>
  <c r="N66" i="4"/>
  <c r="T277" i="5" s="1"/>
  <c r="AI285" i="8" s="1"/>
  <c r="AU285" i="8" s="1"/>
  <c r="N12" i="4"/>
  <c r="T263" i="5" s="1"/>
  <c r="AI272" i="8" s="1"/>
  <c r="D47" i="4"/>
  <c r="E33" i="5" s="1"/>
  <c r="D45" i="4"/>
  <c r="E31" i="5" s="1"/>
  <c r="D5" i="4"/>
  <c r="E61" i="5" s="1"/>
  <c r="D34" i="4"/>
  <c r="E149" i="5" s="1"/>
  <c r="D7" i="4"/>
  <c r="E176" i="5" s="1"/>
  <c r="D9" i="4"/>
  <c r="E188" i="5" s="1"/>
  <c r="D48" i="4"/>
  <c r="E233" i="5" s="1"/>
  <c r="D183" i="4"/>
  <c r="E271" i="5" s="1"/>
  <c r="AD279" i="8" s="1"/>
  <c r="M372" i="4"/>
  <c r="R356" i="5" s="1"/>
  <c r="M363" i="4"/>
  <c r="R372" i="5" s="1"/>
  <c r="M362" i="4"/>
  <c r="R373" i="5" s="1"/>
  <c r="M364" i="4"/>
  <c r="R359" i="5" s="1"/>
  <c r="M352" i="4"/>
  <c r="R358" i="5" s="1"/>
  <c r="M353" i="4"/>
  <c r="R360" i="5" s="1"/>
  <c r="M357" i="4"/>
  <c r="R361" i="5" s="1"/>
  <c r="M361" i="4"/>
  <c r="R371" i="5" s="1"/>
  <c r="AY94" i="2"/>
  <c r="AY93" i="2"/>
  <c r="M354" i="4"/>
  <c r="R370" i="5" s="1"/>
  <c r="M359" i="4"/>
  <c r="R363" i="5" s="1"/>
  <c r="M355" i="4"/>
  <c r="R362" i="5" s="1"/>
  <c r="J23" i="4"/>
  <c r="N13" i="5" s="1"/>
  <c r="J56" i="4"/>
  <c r="N116" i="5" s="1"/>
  <c r="J298" i="4"/>
  <c r="J53" i="4"/>
  <c r="J219" i="4"/>
  <c r="N265" i="5" s="1"/>
  <c r="J184" i="4"/>
  <c r="J137" i="4"/>
  <c r="J240" i="4"/>
  <c r="J181" i="4"/>
  <c r="J182" i="4"/>
  <c r="J120" i="4"/>
  <c r="J236" i="4"/>
  <c r="J176" i="4"/>
  <c r="J209" i="4"/>
  <c r="J127" i="4"/>
  <c r="M241" i="4"/>
  <c r="R128" i="5" s="1"/>
  <c r="M77" i="4"/>
  <c r="R119" i="5" s="1"/>
  <c r="M286" i="4"/>
  <c r="R108" i="5" s="1"/>
  <c r="M13" i="4"/>
  <c r="R142" i="5" s="1"/>
  <c r="M278" i="4"/>
  <c r="R139" i="5" s="1"/>
  <c r="M63" i="4"/>
  <c r="R270" i="5" s="1"/>
  <c r="AZ299" i="5"/>
  <c r="X203" i="4"/>
  <c r="AI37" i="5" s="1"/>
  <c r="AN68" i="8" s="1"/>
  <c r="AZ68" i="8" s="1"/>
  <c r="X225" i="4"/>
  <c r="AI196" i="5" s="1"/>
  <c r="AN215" i="8" s="1"/>
  <c r="AZ215" i="8" s="1"/>
  <c r="P215" i="8" s="1"/>
  <c r="M313" i="4"/>
  <c r="R312" i="5" s="1"/>
  <c r="M310" i="4"/>
  <c r="R309" i="5" s="1"/>
  <c r="M312" i="4"/>
  <c r="R311" i="5" s="1"/>
  <c r="M349" i="4"/>
  <c r="R335" i="5" s="1"/>
  <c r="AY91" i="2"/>
  <c r="AY90" i="2"/>
  <c r="J123" i="4"/>
  <c r="J245" i="4"/>
  <c r="J246" i="4"/>
  <c r="J122" i="4"/>
  <c r="J194" i="4"/>
  <c r="J131" i="4"/>
  <c r="I217" i="4"/>
  <c r="I119" i="4"/>
  <c r="I216" i="4"/>
  <c r="Y203" i="4"/>
  <c r="AJ37" i="5" s="1"/>
  <c r="Y225" i="4"/>
  <c r="AJ196" i="5" s="1"/>
  <c r="M377" i="4"/>
  <c r="R377" i="5" s="1"/>
  <c r="M374" i="4"/>
  <c r="R374" i="5" s="1"/>
  <c r="M376" i="4"/>
  <c r="R376" i="5" s="1"/>
  <c r="M381" i="4"/>
  <c r="R381" i="5" s="1"/>
  <c r="M380" i="4"/>
  <c r="R380" i="5" s="1"/>
  <c r="M379" i="4"/>
  <c r="R379" i="5" s="1"/>
  <c r="M382" i="4"/>
  <c r="R382" i="5" s="1"/>
  <c r="AU385" i="5"/>
  <c r="J294" i="4"/>
  <c r="N144" i="5" s="1"/>
  <c r="J226" i="4"/>
  <c r="N197" i="5" s="1"/>
  <c r="J301" i="4"/>
  <c r="J264" i="4"/>
  <c r="J254" i="4"/>
  <c r="J255" i="4"/>
  <c r="X352" i="4"/>
  <c r="AI358" i="5" s="1"/>
  <c r="AN357" i="8" s="1"/>
  <c r="X372" i="4"/>
  <c r="AI356" i="5" s="1"/>
  <c r="AN355" i="8" s="1"/>
  <c r="X354" i="4"/>
  <c r="AI370" i="5" s="1"/>
  <c r="X364" i="4"/>
  <c r="AI359" i="5" s="1"/>
  <c r="AN358" i="8" s="1"/>
  <c r="X353" i="4"/>
  <c r="AI360" i="5" s="1"/>
  <c r="AN359" i="8" s="1"/>
  <c r="X363" i="4"/>
  <c r="AI372" i="5" s="1"/>
  <c r="AN369" i="8" s="1"/>
  <c r="X362" i="4"/>
  <c r="AI373" i="5" s="1"/>
  <c r="AN370" i="8" s="1"/>
  <c r="X359" i="4"/>
  <c r="AI363" i="5" s="1"/>
  <c r="AN361" i="8" s="1"/>
  <c r="BJ94" i="2"/>
  <c r="BJ93" i="2"/>
  <c r="X361" i="4"/>
  <c r="AI371" i="5" s="1"/>
  <c r="AN368" i="8" s="1"/>
  <c r="AF223" i="8"/>
  <c r="AR223" i="8" s="1"/>
  <c r="H223" i="8" s="1"/>
  <c r="AR208" i="5"/>
  <c r="AW120" i="8"/>
  <c r="AU240" i="5"/>
  <c r="Y370" i="4"/>
  <c r="AJ354" i="5" s="1"/>
  <c r="Y366" i="4"/>
  <c r="AJ367" i="5" s="1"/>
  <c r="Y360" i="4"/>
  <c r="AJ364" i="5" s="1"/>
  <c r="Y358" i="4"/>
  <c r="AJ352" i="5" s="1"/>
  <c r="Y365" i="4"/>
  <c r="AJ365" i="5" s="1"/>
  <c r="Y356" i="4"/>
  <c r="AJ366" i="5" s="1"/>
  <c r="I19" i="4"/>
  <c r="L186" i="5" s="1"/>
  <c r="I282" i="4"/>
  <c r="I70" i="4"/>
  <c r="I74" i="4"/>
  <c r="AW91" i="5"/>
  <c r="Z120" i="8"/>
  <c r="AV385" i="5"/>
  <c r="T53" i="4" a="1"/>
  <c r="T53" i="4" s="1"/>
  <c r="AC43" i="5" s="1"/>
  <c r="AL74" i="8" s="1"/>
  <c r="AX74" i="8" s="1"/>
  <c r="N74" i="8" s="1"/>
  <c r="T171" i="4" a="1"/>
  <c r="T171" i="4" s="1"/>
  <c r="AC69" i="5" s="1"/>
  <c r="T37" i="4" a="1"/>
  <c r="T37" i="4" s="1"/>
  <c r="AC62" i="5" s="1"/>
  <c r="AL91" i="8" s="1"/>
  <c r="AX91" i="8" s="1"/>
  <c r="N91" i="8" s="1"/>
  <c r="T261" i="4" a="1"/>
  <c r="T261" i="4" s="1"/>
  <c r="AC96" i="5" s="1"/>
  <c r="AL125" i="8" s="1"/>
  <c r="AX125" i="8" s="1"/>
  <c r="N125" i="8" s="1"/>
  <c r="T238" i="4" a="1"/>
  <c r="T238" i="4" s="1"/>
  <c r="AC105" i="5" s="1"/>
  <c r="AL134" i="8" s="1"/>
  <c r="T94" i="4" a="1"/>
  <c r="T94" i="4" s="1"/>
  <c r="AC120" i="5" s="1"/>
  <c r="AL148" i="8" s="1"/>
  <c r="AX148" i="8" s="1"/>
  <c r="N148" i="8" s="1"/>
  <c r="T201" i="4" a="1"/>
  <c r="T201" i="4" s="1"/>
  <c r="AC249" i="5" s="1"/>
  <c r="AL259" i="8" s="1"/>
  <c r="T265" i="4" a="1"/>
  <c r="T265" i="4" s="1"/>
  <c r="I31" i="3"/>
  <c r="T266" i="4" a="1"/>
  <c r="T266" i="4" s="1"/>
  <c r="U179" i="4" a="1"/>
  <c r="U179" i="4" s="1"/>
  <c r="AD261" i="5" s="1"/>
  <c r="U127" i="4" a="1"/>
  <c r="U127" i="4" s="1"/>
  <c r="AD171" i="5" s="1"/>
  <c r="U111" i="4" a="1"/>
  <c r="U111" i="4" s="1"/>
  <c r="AD94" i="5" s="1"/>
  <c r="U134" i="4" a="1"/>
  <c r="U134" i="4" s="1"/>
  <c r="AD20" i="5" s="1"/>
  <c r="U169" i="4" a="1"/>
  <c r="U169" i="4" s="1"/>
  <c r="AD54" i="5" s="1"/>
  <c r="U241" i="4" a="1"/>
  <c r="U241" i="4" s="1"/>
  <c r="AD128" i="5" s="1"/>
  <c r="U284" i="4" a="1"/>
  <c r="U284" i="4" s="1"/>
  <c r="AD106" i="5" s="1"/>
  <c r="U278" i="4" a="1"/>
  <c r="U278" i="4" s="1"/>
  <c r="AD139" i="5" s="1"/>
  <c r="U282" i="4" a="1"/>
  <c r="U282" i="4" s="1"/>
  <c r="AD222" i="5" s="1"/>
  <c r="U137" i="4" a="1"/>
  <c r="U137" i="4" s="1"/>
  <c r="AD260" i="5" s="1"/>
  <c r="U25" i="4" a="1"/>
  <c r="U25" i="4" s="1"/>
  <c r="AD252" i="5" s="1"/>
  <c r="U102" i="4" a="1"/>
  <c r="U102" i="4" s="1"/>
  <c r="AD266" i="5" s="1"/>
  <c r="U61" i="4" a="1"/>
  <c r="U61" i="4" s="1"/>
  <c r="AD262" i="5" s="1"/>
  <c r="J378" i="4"/>
  <c r="N378" i="5" s="1"/>
  <c r="AG374" i="8" s="1"/>
  <c r="J276" i="4"/>
  <c r="N302" i="5" s="1"/>
  <c r="AS302" i="5" s="1"/>
  <c r="R110" i="4"/>
  <c r="R79" i="4"/>
  <c r="R31" i="4"/>
  <c r="R253" i="4"/>
  <c r="O315" i="4"/>
  <c r="U316" i="5" s="1"/>
  <c r="O309" i="4"/>
  <c r="U308" i="5" s="1"/>
  <c r="O314" i="4"/>
  <c r="U313" i="5" s="1"/>
  <c r="O307" i="4"/>
  <c r="U317" i="5" s="1"/>
  <c r="O316" i="4"/>
  <c r="U318" i="5" s="1"/>
  <c r="O347" i="4"/>
  <c r="U336" i="5" s="1"/>
  <c r="L276" i="4"/>
  <c r="Q302" i="5" s="1"/>
  <c r="AT302" i="5" s="1"/>
  <c r="U178" i="4" a="1"/>
  <c r="U178" i="4" s="1"/>
  <c r="AD85" i="5" s="1"/>
  <c r="U236" i="4" a="1"/>
  <c r="U236" i="4" s="1"/>
  <c r="AD95" i="5" s="1"/>
  <c r="U14" i="4" a="1"/>
  <c r="U14" i="4" s="1"/>
  <c r="AD180" i="5" s="1"/>
  <c r="L378" i="4"/>
  <c r="Q378" i="5" s="1"/>
  <c r="AH374" i="8" s="1"/>
  <c r="J318" i="4"/>
  <c r="N306" i="5" s="1"/>
  <c r="W270" i="4"/>
  <c r="AG291" i="5" s="1"/>
  <c r="W221" i="4"/>
  <c r="AG80" i="5" s="1"/>
  <c r="W30" i="4"/>
  <c r="AG275" i="5" s="1"/>
  <c r="D59" i="4"/>
  <c r="E45" i="5" s="1"/>
  <c r="N226" i="4"/>
  <c r="T197" i="5" s="1"/>
  <c r="AI216" i="8" s="1"/>
  <c r="X45" i="4"/>
  <c r="AI31" i="5" s="1"/>
  <c r="AN5" i="8" s="1"/>
  <c r="AZ5" i="8" s="1"/>
  <c r="P5" i="8" s="1"/>
  <c r="C44" i="4"/>
  <c r="C18" i="5" s="1"/>
  <c r="L64" i="4"/>
  <c r="Q3" i="5" s="1"/>
  <c r="AH40" i="8" s="1"/>
  <c r="AT40" i="8" s="1"/>
  <c r="J40" i="8" s="1"/>
  <c r="Z273" i="4"/>
  <c r="AL51" i="5" s="1"/>
  <c r="Q51" i="4"/>
  <c r="X39" i="5" s="1"/>
  <c r="M211" i="4"/>
  <c r="R22" i="5" s="1"/>
  <c r="S140" i="4"/>
  <c r="AA14" i="5" s="1"/>
  <c r="M140" i="4"/>
  <c r="R14" i="5" s="1"/>
  <c r="Q181" i="4"/>
  <c r="X10" i="5" s="1"/>
  <c r="L233" i="4"/>
  <c r="Q29" i="5" s="1"/>
  <c r="AH61" i="8" s="1"/>
  <c r="AT61" i="8" s="1"/>
  <c r="J61" i="8" s="1"/>
  <c r="N212" i="4"/>
  <c r="T23" i="5" s="1"/>
  <c r="AI56" i="8" s="1"/>
  <c r="U89" i="4" a="1"/>
  <c r="U89" i="4" s="1"/>
  <c r="AD48" i="5" s="1"/>
  <c r="O51" i="4"/>
  <c r="U39" i="5" s="1"/>
  <c r="C46" i="4"/>
  <c r="C32" i="5" s="1"/>
  <c r="U50" i="4" a="1"/>
  <c r="U50" i="4" s="1"/>
  <c r="AD38" i="5" s="1"/>
  <c r="U260" i="4" a="1"/>
  <c r="U260" i="4" s="1"/>
  <c r="AD46" i="5" s="1"/>
  <c r="U39" i="4" a="1"/>
  <c r="U39" i="4" s="1"/>
  <c r="AD64" i="5" s="1"/>
  <c r="Y39" i="4"/>
  <c r="AJ64" i="5" s="1"/>
  <c r="P55" i="4"/>
  <c r="W67" i="5" s="1"/>
  <c r="AJ96" i="8" s="1"/>
  <c r="AV96" i="8" s="1"/>
  <c r="L96" i="8" s="1"/>
  <c r="H51" i="4"/>
  <c r="K39" i="5" s="1"/>
  <c r="Y55" i="4"/>
  <c r="AJ67" i="5" s="1"/>
  <c r="L138" i="4"/>
  <c r="Q86" i="5" s="1"/>
  <c r="AH115" i="8" s="1"/>
  <c r="AT115" i="8" s="1"/>
  <c r="J115" i="8" s="1"/>
  <c r="L55" i="4"/>
  <c r="Q67" i="5" s="1"/>
  <c r="AH96" i="8" s="1"/>
  <c r="AT96" i="8" s="1"/>
  <c r="J96" i="8" s="1"/>
  <c r="U120" i="4" a="1"/>
  <c r="U120" i="4" s="1"/>
  <c r="AD93" i="5" s="1"/>
  <c r="U177" i="4" a="1"/>
  <c r="U177" i="4" s="1"/>
  <c r="AD83" i="5" s="1"/>
  <c r="Q239" i="4"/>
  <c r="X114" i="5" s="1"/>
  <c r="Q94" i="4"/>
  <c r="X120" i="5" s="1"/>
  <c r="M249" i="4"/>
  <c r="R99" i="5" s="1"/>
  <c r="X240" i="4"/>
  <c r="AI117" i="5" s="1"/>
  <c r="M293" i="4"/>
  <c r="R89" i="5" s="1"/>
  <c r="X62" i="4"/>
  <c r="AI109" i="5" s="1"/>
  <c r="AN138" i="8" s="1"/>
  <c r="AZ138" i="8" s="1"/>
  <c r="P138" i="8" s="1"/>
  <c r="C184" i="4"/>
  <c r="C132" i="5" s="1"/>
  <c r="U138" i="4" a="1"/>
  <c r="U138" i="4" s="1"/>
  <c r="AD86" i="5" s="1"/>
  <c r="C39" i="4"/>
  <c r="C64" i="5" s="1"/>
  <c r="F79" i="4"/>
  <c r="H131" i="5" s="1"/>
  <c r="L300" i="4"/>
  <c r="Q153" i="5" s="1"/>
  <c r="AH177" i="8" s="1"/>
  <c r="AT177" i="8" s="1"/>
  <c r="J177" i="8" s="1"/>
  <c r="M186" i="4"/>
  <c r="R150" i="5" s="1"/>
  <c r="E278" i="4"/>
  <c r="F139" i="5" s="1"/>
  <c r="H296" i="4"/>
  <c r="K156" i="5" s="1"/>
  <c r="AF180" i="8" s="1"/>
  <c r="AR180" i="8" s="1"/>
  <c r="H180" i="8" s="1"/>
  <c r="E123" i="4"/>
  <c r="F145" i="5" s="1"/>
  <c r="T295" i="4" a="1"/>
  <c r="T295" i="4" s="1"/>
  <c r="AC98" i="5" s="1"/>
  <c r="AL127" i="8" s="1"/>
  <c r="AX127" i="8" s="1"/>
  <c r="N127" i="8" s="1"/>
  <c r="E186" i="4"/>
  <c r="F150" i="5" s="1"/>
  <c r="Q250" i="4"/>
  <c r="X103" i="5" s="1"/>
  <c r="U65" i="4" a="1"/>
  <c r="U65" i="4" s="1"/>
  <c r="AD148" i="5" s="1"/>
  <c r="X123" i="4"/>
  <c r="AI145" i="5" s="1"/>
  <c r="AN170" i="8" s="1"/>
  <c r="AZ170" i="8" s="1"/>
  <c r="P170" i="8" s="1"/>
  <c r="T237" i="4" a="1"/>
  <c r="T237" i="4" s="1"/>
  <c r="AC104" i="5" s="1"/>
  <c r="AL133" i="8" s="1"/>
  <c r="Y186" i="4"/>
  <c r="AJ150" i="5" s="1"/>
  <c r="L96" i="4"/>
  <c r="Q122" i="5" s="1"/>
  <c r="U3" i="4" a="1"/>
  <c r="U3" i="4" s="1"/>
  <c r="AD118" i="5" s="1"/>
  <c r="M113" i="4"/>
  <c r="R135" i="5" s="1"/>
  <c r="X83" i="4"/>
  <c r="AI159" i="5" s="1"/>
  <c r="AN13" i="8" s="1"/>
  <c r="AZ13" i="8" s="1"/>
  <c r="P13" i="8" s="1"/>
  <c r="T114" i="4" a="1"/>
  <c r="T114" i="4" s="1"/>
  <c r="AC138" i="5" s="1"/>
  <c r="AL163" i="8" s="1"/>
  <c r="L15" i="4"/>
  <c r="Q181" i="5" s="1"/>
  <c r="AH202" i="8" s="1"/>
  <c r="AT202" i="8" s="1"/>
  <c r="J202" i="8" s="1"/>
  <c r="P68" i="4"/>
  <c r="W165" i="5" s="1"/>
  <c r="AJ188" i="8" s="1"/>
  <c r="Z83" i="4"/>
  <c r="AL159" i="5" s="1"/>
  <c r="E128" i="4"/>
  <c r="F179" i="5" s="1"/>
  <c r="D254" i="4"/>
  <c r="E194" i="5" s="1"/>
  <c r="M115" i="4"/>
  <c r="R161" i="5" s="1"/>
  <c r="U126" i="4" a="1"/>
  <c r="U126" i="4" s="1"/>
  <c r="AD162" i="5" s="1"/>
  <c r="R16" i="4"/>
  <c r="Z183" i="5" s="1"/>
  <c r="AK16" i="8" s="1"/>
  <c r="H68" i="4"/>
  <c r="K165" i="5" s="1"/>
  <c r="T65" i="4" a="1"/>
  <c r="T65" i="4" s="1"/>
  <c r="AC148" i="5" s="1"/>
  <c r="AL12" i="8" s="1"/>
  <c r="Q99" i="4"/>
  <c r="X166" i="5" s="1"/>
  <c r="Y15" i="4"/>
  <c r="AJ181" i="5" s="1"/>
  <c r="M123" i="4"/>
  <c r="R145" i="5" s="1"/>
  <c r="M253" i="4"/>
  <c r="R168" i="5" s="1"/>
  <c r="AL207" i="8"/>
  <c r="AX187" i="5"/>
  <c r="T145" i="4" a="1"/>
  <c r="T145" i="4" s="1"/>
  <c r="AC178" i="5" s="1"/>
  <c r="AL200" i="8" s="1"/>
  <c r="D288" i="4"/>
  <c r="E214" i="5" s="1"/>
  <c r="AD22" i="8" s="1"/>
  <c r="O131" i="4"/>
  <c r="U199" i="5" s="1"/>
  <c r="Q160" i="4"/>
  <c r="X216" i="5" s="1"/>
  <c r="U197" i="4" a="1"/>
  <c r="U197" i="4" s="1"/>
  <c r="AD234" i="5" s="1"/>
  <c r="P159" i="4"/>
  <c r="W215" i="5" s="1"/>
  <c r="AJ23" i="8" s="1"/>
  <c r="F245" i="4"/>
  <c r="H229" i="5" s="1"/>
  <c r="J85" i="4"/>
  <c r="N224" i="5" s="1"/>
  <c r="C224" i="4"/>
  <c r="C169" i="5" s="1"/>
  <c r="F83" i="4"/>
  <c r="H159" i="5" s="1"/>
  <c r="Q167" i="4"/>
  <c r="X247" i="5" s="1"/>
  <c r="U247" i="4" a="1"/>
  <c r="U247" i="4" s="1"/>
  <c r="AD231" i="5" s="1"/>
  <c r="Y116" i="4"/>
  <c r="AJ256" i="5" s="1"/>
  <c r="U118" i="4" a="1"/>
  <c r="U118" i="4" s="1"/>
  <c r="AD236" i="5" s="1"/>
  <c r="Z287" i="4"/>
  <c r="AL287" i="5" s="1"/>
  <c r="D201" i="4"/>
  <c r="E249" i="5" s="1"/>
  <c r="O179" i="4"/>
  <c r="U261" i="5" s="1"/>
  <c r="T133" i="4" a="1"/>
  <c r="T133" i="4" s="1"/>
  <c r="AC226" i="5" s="1"/>
  <c r="AL239" i="8" s="1"/>
  <c r="C204" i="4"/>
  <c r="C251" i="5" s="1"/>
  <c r="T29" i="4" a="1"/>
  <c r="T29" i="4" s="1"/>
  <c r="AC268" i="5" s="1"/>
  <c r="AL276" i="8" s="1"/>
  <c r="M57" i="4"/>
  <c r="R257" i="5" s="1"/>
  <c r="H165" i="4"/>
  <c r="K245" i="5" s="1"/>
  <c r="T100" i="4" a="1"/>
  <c r="T100" i="4" s="1"/>
  <c r="AC238" i="5" s="1"/>
  <c r="AL250" i="8" s="1"/>
  <c r="T288" i="4" a="1"/>
  <c r="T288" i="4" s="1"/>
  <c r="AC214" i="5" s="1"/>
  <c r="AL22" i="8" s="1"/>
  <c r="P235" i="4"/>
  <c r="W253" i="5" s="1"/>
  <c r="AJ263" i="8" s="1"/>
  <c r="AV263" i="8" s="1"/>
  <c r="L263" i="8" s="1"/>
  <c r="X102" i="4"/>
  <c r="AI266" i="5" s="1"/>
  <c r="AN274" i="8" s="1"/>
  <c r="AZ274" i="8" s="1"/>
  <c r="P274" i="8" s="1"/>
  <c r="M320" i="4"/>
  <c r="R320" i="5" s="1"/>
  <c r="C63" i="4"/>
  <c r="C270" i="5" s="1"/>
  <c r="Z259" i="4"/>
  <c r="AL297" i="5" s="1"/>
  <c r="P27" i="4"/>
  <c r="W264" i="5" s="1"/>
  <c r="AJ273" i="8" s="1"/>
  <c r="AV273" i="8" s="1"/>
  <c r="L273" i="8" s="1"/>
  <c r="D147" i="4"/>
  <c r="E293" i="5" s="1"/>
  <c r="U158" i="4" a="1"/>
  <c r="U158" i="4" s="1"/>
  <c r="AD258" i="5" s="1"/>
  <c r="Y323" i="4"/>
  <c r="AJ326" i="5" s="1"/>
  <c r="J321" i="4"/>
  <c r="N324" i="5" s="1"/>
  <c r="M345" i="4"/>
  <c r="R337" i="5" s="1"/>
  <c r="Q331" i="4"/>
  <c r="X348" i="5" s="1"/>
  <c r="L331" i="4"/>
  <c r="Q348" i="5" s="1"/>
  <c r="AH348" i="8" s="1"/>
  <c r="AT348" i="8" s="1"/>
  <c r="J348" i="8" s="1"/>
  <c r="O340" i="4"/>
  <c r="U331" i="5" s="1"/>
  <c r="I345" i="4"/>
  <c r="L337" i="5" s="1"/>
  <c r="Z370" i="4"/>
  <c r="AL354" i="5" s="1"/>
  <c r="AD347" i="8"/>
  <c r="AP347" i="8" s="1"/>
  <c r="F347" i="8" s="1"/>
  <c r="AP347" i="5"/>
  <c r="V343" i="4"/>
  <c r="AF330" i="5" s="1"/>
  <c r="M383" i="4"/>
  <c r="R383" i="5" s="1"/>
  <c r="X377" i="4"/>
  <c r="AI377" i="5" s="1"/>
  <c r="AN373" i="8" s="1"/>
  <c r="C365" i="4"/>
  <c r="C365" i="5" s="1"/>
  <c r="R363" i="8" s="1"/>
  <c r="Z356" i="4"/>
  <c r="AL366" i="5" s="1"/>
  <c r="X341" i="4"/>
  <c r="AI333" i="5" s="1"/>
  <c r="AN333" i="8" s="1"/>
  <c r="AZ333" i="8" s="1"/>
  <c r="P333" i="8" s="1"/>
  <c r="L400" i="4"/>
  <c r="Q407" i="5" s="1"/>
  <c r="X269" i="4"/>
  <c r="AI2" i="5" s="1"/>
  <c r="AN39" i="8" s="1"/>
  <c r="AZ39" i="8" s="1"/>
  <c r="P39" i="8" s="1"/>
  <c r="Y398" i="4"/>
  <c r="AJ405" i="5" s="1"/>
  <c r="AY304" i="8"/>
  <c r="O304" i="8" s="1"/>
  <c r="AR81" i="8"/>
  <c r="H81" i="8" s="1"/>
  <c r="J132" i="8"/>
  <c r="O321" i="8"/>
  <c r="H51" i="8"/>
  <c r="AQ52" i="8"/>
  <c r="G52" i="8" s="1"/>
  <c r="O405" i="8"/>
  <c r="P103" i="8"/>
  <c r="P89" i="8"/>
  <c r="AY391" i="8"/>
  <c r="O391" i="8" s="1"/>
  <c r="AW98" i="8"/>
  <c r="O339" i="8"/>
  <c r="P10" i="8"/>
  <c r="J136" i="8"/>
  <c r="AQ80" i="8"/>
  <c r="G80" i="8" s="1"/>
  <c r="AU188" i="8"/>
  <c r="AW89" i="8"/>
  <c r="AY208" i="8"/>
  <c r="O208" i="8" s="1"/>
  <c r="P96" i="8"/>
  <c r="P56" i="8"/>
  <c r="P53" i="8"/>
  <c r="P76" i="8"/>
  <c r="O396" i="8"/>
  <c r="G92" i="8"/>
  <c r="AU159" i="8"/>
  <c r="H3" i="8"/>
  <c r="P294" i="8"/>
  <c r="P63" i="8"/>
  <c r="AY395" i="8"/>
  <c r="O395" i="8" s="1"/>
  <c r="AY236" i="8"/>
  <c r="AW266" i="8"/>
  <c r="AU14" i="8"/>
  <c r="J113" i="8"/>
  <c r="O108" i="8"/>
  <c r="AS294" i="8"/>
  <c r="I294" i="8" s="1"/>
  <c r="H389" i="8"/>
  <c r="H136" i="8"/>
  <c r="AY204" i="8"/>
  <c r="O204" i="8" s="1"/>
  <c r="P80" i="8"/>
  <c r="AY40" i="8"/>
  <c r="AU104" i="8"/>
  <c r="I84" i="8"/>
  <c r="AU29" i="8"/>
  <c r="I102" i="8"/>
  <c r="AQ56" i="8"/>
  <c r="G56" i="8" s="1"/>
  <c r="AS99" i="8"/>
  <c r="I99" i="8" s="1"/>
  <c r="AS52" i="8"/>
  <c r="I52" i="8" s="1"/>
  <c r="AR80" i="8"/>
  <c r="H80" i="8" s="1"/>
  <c r="O207" i="8"/>
  <c r="AY397" i="8"/>
  <c r="O397" i="8" s="1"/>
  <c r="P84" i="8"/>
  <c r="I185" i="8"/>
  <c r="AW188" i="8"/>
  <c r="G76" i="8"/>
  <c r="AZ93" i="8"/>
  <c r="P93" i="8" s="1"/>
  <c r="AQ294" i="8"/>
  <c r="G294" i="8" s="1"/>
  <c r="P52" i="8"/>
  <c r="O388" i="8"/>
  <c r="J70" i="8"/>
  <c r="G79" i="8"/>
  <c r="O385" i="8"/>
  <c r="B385" i="8" s="1"/>
  <c r="I59" i="8"/>
  <c r="AQ51" i="8"/>
  <c r="G51" i="8" s="1"/>
  <c r="H14" i="8"/>
  <c r="G67" i="8"/>
  <c r="P47" i="8"/>
  <c r="AQ160" i="8"/>
  <c r="G160" i="8" s="1"/>
  <c r="J2" i="8"/>
  <c r="AS226" i="8"/>
  <c r="I226" i="8" s="1"/>
  <c r="AS291" i="8"/>
  <c r="I291" i="8" s="1"/>
  <c r="L16" i="11"/>
  <c r="M16" i="11" s="1"/>
  <c r="AY389" i="8"/>
  <c r="O389" i="8" s="1"/>
  <c r="I57" i="8"/>
  <c r="AY199" i="8"/>
  <c r="O199" i="8" s="1"/>
  <c r="O384" i="8"/>
  <c r="B384" i="8" s="1"/>
  <c r="AS45" i="8"/>
  <c r="I45" i="8" s="1"/>
  <c r="AR39" i="8"/>
  <c r="H39" i="8" s="1"/>
  <c r="AZ77" i="8"/>
  <c r="P77" i="8" s="1"/>
  <c r="AU172" i="8"/>
  <c r="AZ92" i="8"/>
  <c r="P92" i="8" s="1"/>
  <c r="AW108" i="8"/>
  <c r="G10" i="8"/>
  <c r="O399" i="8"/>
  <c r="O402" i="8"/>
  <c r="AY387" i="8"/>
  <c r="O387" i="8" s="1"/>
  <c r="I70" i="8"/>
  <c r="P99" i="8"/>
  <c r="AY98" i="8"/>
  <c r="O98" i="8" s="1"/>
  <c r="O198" i="8"/>
  <c r="AY263" i="8"/>
  <c r="O263" i="8" s="1"/>
  <c r="AW349" i="8"/>
  <c r="AY195" i="8"/>
  <c r="O195" i="8" s="1"/>
  <c r="AW6" i="8"/>
  <c r="O120" i="8"/>
  <c r="O400" i="8"/>
  <c r="I247" i="8"/>
  <c r="AY382" i="8"/>
  <c r="O382" i="8" s="1"/>
  <c r="B382" i="8" s="1"/>
  <c r="AY390" i="8"/>
  <c r="O390" i="8" s="1"/>
  <c r="AS151" i="8"/>
  <c r="I151" i="8" s="1"/>
  <c r="AU176" i="8"/>
  <c r="AY404" i="8"/>
  <c r="O404" i="8" s="1"/>
  <c r="AY232" i="8"/>
  <c r="O232" i="8" s="1"/>
  <c r="AX263" i="8"/>
  <c r="P51" i="8"/>
  <c r="G98" i="8"/>
  <c r="AS163" i="8"/>
  <c r="I163" i="8" s="1"/>
  <c r="AY36" i="8"/>
  <c r="O36" i="8" s="1"/>
  <c r="AY222" i="8"/>
  <c r="O222" i="8" s="1"/>
  <c r="AY206" i="8"/>
  <c r="O206" i="8" s="1"/>
  <c r="G54" i="8"/>
  <c r="J151" i="8"/>
  <c r="P61" i="8"/>
  <c r="L73" i="8"/>
  <c r="O347" i="8"/>
  <c r="AQ14" i="8"/>
  <c r="G14" i="8" s="1"/>
  <c r="J143" i="8"/>
  <c r="G105" i="8"/>
  <c r="J174" i="8"/>
  <c r="O401" i="8"/>
  <c r="O403" i="8"/>
  <c r="AZ91" i="8"/>
  <c r="P91" i="8" s="1"/>
  <c r="AY38" i="8"/>
  <c r="O38" i="8" s="1"/>
  <c r="J85" i="8"/>
  <c r="AW222" i="8"/>
  <c r="AQ42" i="8"/>
  <c r="G42" i="8" s="1"/>
  <c r="AY406" i="8"/>
  <c r="O406" i="8" s="1"/>
  <c r="AS69" i="8"/>
  <c r="I69" i="8" s="1"/>
  <c r="G96" i="8"/>
  <c r="AQ61" i="8"/>
  <c r="G61" i="8" s="1"/>
  <c r="P98" i="8"/>
  <c r="G172" i="8"/>
  <c r="K119" i="8"/>
  <c r="G111" i="8"/>
  <c r="I174" i="8"/>
  <c r="AS3" i="8"/>
  <c r="I3" i="8" s="1"/>
  <c r="AW305" i="8"/>
  <c r="I10" i="8"/>
  <c r="AY136" i="8"/>
  <c r="O136" i="8" s="1"/>
  <c r="O394" i="8"/>
  <c r="AY30" i="8"/>
  <c r="O30" i="8" s="1"/>
  <c r="AY393" i="8"/>
  <c r="O393" i="8" s="1"/>
  <c r="AY337" i="8"/>
  <c r="O337" i="8" s="1"/>
  <c r="BA50" i="8" l="1"/>
  <c r="Q50" i="8" s="1"/>
  <c r="AV326" i="8"/>
  <c r="AU300" i="5"/>
  <c r="AS98" i="8"/>
  <c r="AV365" i="8"/>
  <c r="AX64" i="8"/>
  <c r="BA119" i="8"/>
  <c r="AP172" i="8"/>
  <c r="AV24" i="8"/>
  <c r="BA218" i="8"/>
  <c r="AP160" i="8"/>
  <c r="AP84" i="8"/>
  <c r="F84" i="8" s="1"/>
  <c r="AX302" i="5"/>
  <c r="AP2" i="8"/>
  <c r="AW13" i="5"/>
  <c r="AX20" i="5"/>
  <c r="AX54" i="8"/>
  <c r="AV303" i="5"/>
  <c r="AX128" i="8"/>
  <c r="AZ286" i="8"/>
  <c r="BA304" i="8"/>
  <c r="AY126" i="8"/>
  <c r="AP13" i="8"/>
  <c r="AY89" i="2"/>
  <c r="AX249" i="8"/>
  <c r="N249" i="8" s="1"/>
  <c r="AU356" i="8"/>
  <c r="K356" i="8" s="1"/>
  <c r="AV87" i="8"/>
  <c r="L87" i="8" s="1"/>
  <c r="AP233" i="8"/>
  <c r="AV80" i="8"/>
  <c r="AX275" i="8"/>
  <c r="N275" i="8" s="1"/>
  <c r="AS304" i="8"/>
  <c r="AV147" i="8"/>
  <c r="AS159" i="8"/>
  <c r="BA84" i="8"/>
  <c r="Q84" i="8" s="1"/>
  <c r="AX11" i="5"/>
  <c r="AY92" i="2"/>
  <c r="AP228" i="8"/>
  <c r="F228" i="8" s="1"/>
  <c r="AP232" i="8"/>
  <c r="AP263" i="8"/>
  <c r="AS309" i="8"/>
  <c r="AX86" i="2"/>
  <c r="AZ300" i="5"/>
  <c r="AQ281" i="8"/>
  <c r="AQ92" i="2"/>
  <c r="AV416" i="5"/>
  <c r="AT89" i="2"/>
  <c r="AT277" i="5"/>
  <c r="AZ89" i="2"/>
  <c r="AP89" i="2"/>
  <c r="AX221" i="8"/>
  <c r="BA63" i="8"/>
  <c r="BA92" i="2"/>
  <c r="AP3" i="8"/>
  <c r="BC86" i="2"/>
  <c r="BG86" i="2"/>
  <c r="AP207" i="8"/>
  <c r="AR89" i="2"/>
  <c r="AX252" i="8"/>
  <c r="N252" i="8" s="1"/>
  <c r="AZ239" i="8"/>
  <c r="P239" i="8" s="1"/>
  <c r="AV27" i="8"/>
  <c r="AZ291" i="8"/>
  <c r="P291" i="8" s="1"/>
  <c r="AP4" i="8"/>
  <c r="AN69" i="5"/>
  <c r="AX19" i="5"/>
  <c r="AN90" i="5"/>
  <c r="AX238" i="8"/>
  <c r="N238" i="8" s="1"/>
  <c r="AU95" i="2"/>
  <c r="BA89" i="2"/>
  <c r="AV89" i="2"/>
  <c r="AX95" i="2"/>
  <c r="AU86" i="2"/>
  <c r="AQ89" i="2"/>
  <c r="AN35" i="5"/>
  <c r="AT300" i="5"/>
  <c r="AX280" i="8"/>
  <c r="AP92" i="2"/>
  <c r="AW86" i="2"/>
  <c r="BF89" i="2"/>
  <c r="AP202" i="8"/>
  <c r="F202" i="8" s="1"/>
  <c r="AU89" i="2"/>
  <c r="BH86" i="2"/>
  <c r="AZ416" i="5"/>
  <c r="AZ301" i="5"/>
  <c r="BJ86" i="2"/>
  <c r="AV92" i="2"/>
  <c r="AY86" i="2"/>
  <c r="AQ176" i="8"/>
  <c r="AN204" i="5"/>
  <c r="AN19" i="5"/>
  <c r="BK86" i="2"/>
  <c r="AW95" i="2"/>
  <c r="BL95" i="2"/>
  <c r="BG89" i="2"/>
  <c r="BJ92" i="2"/>
  <c r="BB89" i="2"/>
  <c r="AV95" i="2"/>
  <c r="AN20" i="5"/>
  <c r="BD86" i="2"/>
  <c r="AN301" i="5"/>
  <c r="AT95" i="2"/>
  <c r="BC92" i="2"/>
  <c r="AX263" i="5"/>
  <c r="AN296" i="5"/>
  <c r="BK95" i="2"/>
  <c r="AN170" i="5"/>
  <c r="BJ89" i="2"/>
  <c r="AT301" i="5"/>
  <c r="BE92" i="2"/>
  <c r="BD95" i="2"/>
  <c r="AV240" i="5"/>
  <c r="BI92" i="2"/>
  <c r="AP86" i="2"/>
  <c r="BC89" i="2"/>
  <c r="AY90" i="8"/>
  <c r="O90" i="8" s="1"/>
  <c r="AT86" i="2"/>
  <c r="AN242" i="5"/>
  <c r="AO86" i="2"/>
  <c r="BG92" i="2"/>
  <c r="AN225" i="5"/>
  <c r="AN303" i="5"/>
  <c r="AW92" i="2"/>
  <c r="BA95" i="2"/>
  <c r="AR95" i="2"/>
  <c r="BK92" i="2"/>
  <c r="AC353" i="8"/>
  <c r="AZ354" i="5"/>
  <c r="X320" i="8"/>
  <c r="AV320" i="8" s="1"/>
  <c r="AU318" i="5"/>
  <c r="AZ211" i="5"/>
  <c r="AC226" i="8"/>
  <c r="AE196" i="8"/>
  <c r="AQ174" i="5"/>
  <c r="W322" i="8"/>
  <c r="AU322" i="8" s="1"/>
  <c r="AT320" i="5"/>
  <c r="AX260" i="5"/>
  <c r="AA269" i="8"/>
  <c r="W372" i="8"/>
  <c r="AU372" i="8" s="1"/>
  <c r="AT376" i="5"/>
  <c r="AC257" i="8"/>
  <c r="AZ246" i="5"/>
  <c r="AC182" i="8"/>
  <c r="AZ158" i="5"/>
  <c r="AO269" i="8"/>
  <c r="BA260" i="5"/>
  <c r="X83" i="8"/>
  <c r="AV83" i="8" s="1"/>
  <c r="AU54" i="5"/>
  <c r="AN209" i="5"/>
  <c r="R224" i="8"/>
  <c r="AD349" i="8"/>
  <c r="AP349" i="8" s="1"/>
  <c r="F349" i="8" s="1"/>
  <c r="AP349" i="5"/>
  <c r="AC275" i="8"/>
  <c r="BA275" i="8" s="1"/>
  <c r="AZ267" i="5"/>
  <c r="W271" i="8"/>
  <c r="AT262" i="5"/>
  <c r="AC15" i="2"/>
  <c r="AD80" i="8"/>
  <c r="AP51" i="5"/>
  <c r="AK62" i="2"/>
  <c r="AG316" i="8"/>
  <c r="AS314" i="5"/>
  <c r="AN125" i="5"/>
  <c r="R11" i="8"/>
  <c r="AQ88" i="5"/>
  <c r="AE117" i="8"/>
  <c r="AD77" i="2"/>
  <c r="X132" i="8"/>
  <c r="AV132" i="8" s="1"/>
  <c r="AU103" i="5"/>
  <c r="AC274" i="8"/>
  <c r="AZ266" i="5"/>
  <c r="AP137" i="5"/>
  <c r="AD162" i="8"/>
  <c r="AQ272" i="5"/>
  <c r="AE280" i="8"/>
  <c r="X244" i="8"/>
  <c r="AV244" i="8" s="1"/>
  <c r="AU232" i="5"/>
  <c r="R299" i="8"/>
  <c r="AN292" i="5"/>
  <c r="AA156" i="8"/>
  <c r="AX131" i="5"/>
  <c r="AP76" i="5"/>
  <c r="AD105" i="8"/>
  <c r="AS327" i="5"/>
  <c r="AG328" i="8"/>
  <c r="AO113" i="8"/>
  <c r="BA84" i="5"/>
  <c r="R262" i="8"/>
  <c r="AN252" i="5"/>
  <c r="Y323" i="8"/>
  <c r="AV321" i="5"/>
  <c r="AX245" i="5"/>
  <c r="AA256" i="8"/>
  <c r="U204" i="8"/>
  <c r="AS204" i="8" s="1"/>
  <c r="AR184" i="5"/>
  <c r="AR48" i="5"/>
  <c r="AF6" i="8"/>
  <c r="AR6" i="8" s="1"/>
  <c r="H6" i="8" s="1"/>
  <c r="Y111" i="8"/>
  <c r="AV82" i="5"/>
  <c r="Z177" i="8"/>
  <c r="AX177" i="8" s="1"/>
  <c r="AW153" i="5"/>
  <c r="Y243" i="8"/>
  <c r="AV231" i="5"/>
  <c r="U346" i="8"/>
  <c r="AR346" i="5"/>
  <c r="X288" i="8"/>
  <c r="AV288" i="8" s="1"/>
  <c r="AU281" i="5"/>
  <c r="Y348" i="8"/>
  <c r="AV348" i="5"/>
  <c r="S201" i="8"/>
  <c r="AP179" i="5"/>
  <c r="AN291" i="5"/>
  <c r="AB298" i="8"/>
  <c r="AY291" i="5"/>
  <c r="AX139" i="5"/>
  <c r="AA164" i="8"/>
  <c r="W137" i="8"/>
  <c r="AT108" i="5"/>
  <c r="AD90" i="8"/>
  <c r="AP90" i="8" s="1"/>
  <c r="F90" i="8" s="1"/>
  <c r="AP61" i="5"/>
  <c r="AC177" i="8"/>
  <c r="AZ153" i="5"/>
  <c r="AT188" i="5"/>
  <c r="AH208" i="8"/>
  <c r="AT208" i="8" s="1"/>
  <c r="J208" i="8" s="1"/>
  <c r="AV131" i="8"/>
  <c r="L131" i="8" s="1"/>
  <c r="AC250" i="8"/>
  <c r="AZ238" i="5"/>
  <c r="AF224" i="8"/>
  <c r="AR224" i="8" s="1"/>
  <c r="H224" i="8" s="1"/>
  <c r="AR209" i="5"/>
  <c r="AN188" i="5"/>
  <c r="AB208" i="8"/>
  <c r="AZ208" i="8" s="1"/>
  <c r="AY188" i="5"/>
  <c r="AO268" i="8"/>
  <c r="BA259" i="5"/>
  <c r="X50" i="8"/>
  <c r="AU15" i="5"/>
  <c r="R183" i="8"/>
  <c r="AP183" i="8" s="1"/>
  <c r="AN160" i="5"/>
  <c r="Z17" i="8"/>
  <c r="AW190" i="5"/>
  <c r="Y107" i="8"/>
  <c r="AV78" i="5"/>
  <c r="AO183" i="8"/>
  <c r="BA160" i="5"/>
  <c r="U237" i="8"/>
  <c r="AR224" i="5"/>
  <c r="AC295" i="8"/>
  <c r="AZ288" i="5"/>
  <c r="AC331" i="8"/>
  <c r="AZ330" i="5"/>
  <c r="Y265" i="8"/>
  <c r="AV256" i="5"/>
  <c r="AY16" i="8"/>
  <c r="O16" i="8" s="1"/>
  <c r="AX178" i="5"/>
  <c r="AA200" i="8"/>
  <c r="AO164" i="8"/>
  <c r="BA139" i="5"/>
  <c r="AP109" i="5"/>
  <c r="AD138" i="8"/>
  <c r="Y65" i="8"/>
  <c r="AV34" i="5"/>
  <c r="AS317" i="5"/>
  <c r="AG319" i="8"/>
  <c r="AX294" i="5"/>
  <c r="AA301" i="8"/>
  <c r="X335" i="8"/>
  <c r="AV335" i="8" s="1"/>
  <c r="AU335" i="5"/>
  <c r="Y136" i="8"/>
  <c r="AV107" i="5"/>
  <c r="AA297" i="8"/>
  <c r="AX290" i="5"/>
  <c r="BA176" i="5"/>
  <c r="AO198" i="8"/>
  <c r="R26" i="8"/>
  <c r="BA222" i="8"/>
  <c r="X139" i="8"/>
  <c r="AV139" i="8" s="1"/>
  <c r="AU110" i="5"/>
  <c r="Y232" i="8"/>
  <c r="AV219" i="5"/>
  <c r="X230" i="8"/>
  <c r="AU217" i="5"/>
  <c r="Y244" i="8"/>
  <c r="AV232" i="5"/>
  <c r="AG23" i="8"/>
  <c r="AS215" i="5"/>
  <c r="AK42" i="2"/>
  <c r="AA33" i="8"/>
  <c r="AX362" i="5"/>
  <c r="BA315" i="5"/>
  <c r="AO317" i="8"/>
  <c r="AP373" i="5"/>
  <c r="AD370" i="8"/>
  <c r="AP370" i="8" s="1"/>
  <c r="U263" i="8"/>
  <c r="AR253" i="5"/>
  <c r="W237" i="8"/>
  <c r="AT224" i="5"/>
  <c r="Z204" i="8"/>
  <c r="AW184" i="5"/>
  <c r="AG180" i="8"/>
  <c r="AS156" i="5"/>
  <c r="W100" i="8"/>
  <c r="AT71" i="5"/>
  <c r="AN187" i="5"/>
  <c r="AB207" i="8"/>
  <c r="AY187" i="5"/>
  <c r="E29" i="3"/>
  <c r="AX91" i="5"/>
  <c r="AL120" i="8"/>
  <c r="AX120" i="8" s="1"/>
  <c r="E12" i="3"/>
  <c r="AX102" i="5"/>
  <c r="AA131" i="8"/>
  <c r="AY313" i="5"/>
  <c r="AM315" i="8"/>
  <c r="AY315" i="8" s="1"/>
  <c r="O315" i="8" s="1"/>
  <c r="AN313" i="5"/>
  <c r="Y379" i="8"/>
  <c r="AV383" i="5"/>
  <c r="W268" i="8"/>
  <c r="AT259" i="5"/>
  <c r="AC203" i="8"/>
  <c r="AZ182" i="5"/>
  <c r="AU84" i="5"/>
  <c r="AI113" i="8"/>
  <c r="Z209" i="8"/>
  <c r="AW189" i="5"/>
  <c r="AF95" i="8"/>
  <c r="AR95" i="8" s="1"/>
  <c r="H95" i="8" s="1"/>
  <c r="AR66" i="5"/>
  <c r="AR17" i="5"/>
  <c r="AF52" i="8"/>
  <c r="AR52" i="8" s="1"/>
  <c r="H52" i="8" s="1"/>
  <c r="AH404" i="8"/>
  <c r="AT404" i="8" s="1"/>
  <c r="J404" i="8" s="1"/>
  <c r="AT413" i="5"/>
  <c r="AN413" i="5"/>
  <c r="AU230" i="5"/>
  <c r="AI242" i="8"/>
  <c r="AP17" i="5"/>
  <c r="AD52" i="8"/>
  <c r="X54" i="8"/>
  <c r="AV54" i="8" s="1"/>
  <c r="AU21" i="5"/>
  <c r="AW408" i="5"/>
  <c r="AK399" i="8"/>
  <c r="AC8" i="8"/>
  <c r="AZ113" i="5"/>
  <c r="Z230" i="8"/>
  <c r="AW217" i="5"/>
  <c r="AD15" i="8"/>
  <c r="AP15" i="8" s="1"/>
  <c r="F15" i="8" s="1"/>
  <c r="AN180" i="5"/>
  <c r="Y48" i="8"/>
  <c r="AV13" i="5"/>
  <c r="X176" i="8"/>
  <c r="AV176" i="8" s="1"/>
  <c r="AU152" i="5"/>
  <c r="AL63" i="2"/>
  <c r="W288" i="8"/>
  <c r="AT281" i="5"/>
  <c r="AN122" i="5"/>
  <c r="R150" i="8"/>
  <c r="BA379" i="5"/>
  <c r="AO375" i="8"/>
  <c r="AP322" i="5"/>
  <c r="AD324" i="8"/>
  <c r="AP324" i="8" s="1"/>
  <c r="F324" i="8" s="1"/>
  <c r="AD261" i="8"/>
  <c r="AP251" i="5"/>
  <c r="AC237" i="8"/>
  <c r="AZ224" i="5"/>
  <c r="AN156" i="5"/>
  <c r="R180" i="8"/>
  <c r="BA126" i="5"/>
  <c r="AO151" i="8"/>
  <c r="W65" i="8"/>
  <c r="AT34" i="5"/>
  <c r="AL77" i="2"/>
  <c r="W117" i="8"/>
  <c r="AT88" i="5"/>
  <c r="AO68" i="8"/>
  <c r="BA37" i="5"/>
  <c r="AY350" i="5"/>
  <c r="AM350" i="8"/>
  <c r="AY350" i="8" s="1"/>
  <c r="O350" i="8" s="1"/>
  <c r="AN350" i="5"/>
  <c r="BA57" i="5"/>
  <c r="AO86" i="8"/>
  <c r="AN86" i="5"/>
  <c r="R115" i="8"/>
  <c r="AP3" i="5"/>
  <c r="AD40" i="8"/>
  <c r="R18" i="8"/>
  <c r="AN200" i="5"/>
  <c r="AN375" i="5"/>
  <c r="AB371" i="8"/>
  <c r="AZ371" i="8" s="1"/>
  <c r="AY375" i="5"/>
  <c r="AG63" i="2"/>
  <c r="AI63" i="2"/>
  <c r="AR281" i="5"/>
  <c r="AF288" i="8"/>
  <c r="AR288" i="8" s="1"/>
  <c r="H288" i="8" s="1"/>
  <c r="AF63" i="2"/>
  <c r="AX316" i="8"/>
  <c r="N316" i="8" s="1"/>
  <c r="BA220" i="5"/>
  <c r="AO233" i="8"/>
  <c r="Y343" i="8"/>
  <c r="AV343" i="5"/>
  <c r="AI273" i="8"/>
  <c r="AU273" i="8" s="1"/>
  <c r="K273" i="8" s="1"/>
  <c r="AU264" i="5"/>
  <c r="AA237" i="8"/>
  <c r="AX224" i="5"/>
  <c r="AJ240" i="8"/>
  <c r="AV227" i="5"/>
  <c r="W189" i="8"/>
  <c r="AT166" i="5"/>
  <c r="BA137" i="5"/>
  <c r="AO162" i="8"/>
  <c r="Y93" i="8"/>
  <c r="AV64" i="5"/>
  <c r="AC191" i="8"/>
  <c r="AZ168" i="5"/>
  <c r="AJ68" i="8"/>
  <c r="AV37" i="5"/>
  <c r="W60" i="8"/>
  <c r="AT27" i="5"/>
  <c r="W142" i="8"/>
  <c r="AT114" i="5"/>
  <c r="AG323" i="8"/>
  <c r="AS321" i="5"/>
  <c r="AC241" i="8"/>
  <c r="AZ229" i="5"/>
  <c r="Y159" i="8"/>
  <c r="AV134" i="5"/>
  <c r="AW100" i="5"/>
  <c r="Z129" i="8"/>
  <c r="AC38" i="8"/>
  <c r="AZ407" i="5"/>
  <c r="AC81" i="8"/>
  <c r="AZ52" i="5"/>
  <c r="Y134" i="8"/>
  <c r="AV105" i="5"/>
  <c r="X101" i="8"/>
  <c r="AV101" i="8" s="1"/>
  <c r="AU72" i="5"/>
  <c r="U322" i="8"/>
  <c r="AR320" i="5"/>
  <c r="AN59" i="5"/>
  <c r="AV12" i="5"/>
  <c r="Y3" i="8"/>
  <c r="W228" i="8"/>
  <c r="AT213" i="5"/>
  <c r="Y87" i="8"/>
  <c r="AV58" i="5"/>
  <c r="U375" i="8"/>
  <c r="AR379" i="5"/>
  <c r="AG205" i="8"/>
  <c r="AS185" i="5"/>
  <c r="AP277" i="8"/>
  <c r="F277" i="8" s="1"/>
  <c r="AP337" i="5"/>
  <c r="AD337" i="8"/>
  <c r="AP337" i="8" s="1"/>
  <c r="F337" i="8" s="1"/>
  <c r="AN337" i="5"/>
  <c r="Y397" i="8"/>
  <c r="AV405" i="5"/>
  <c r="AD303" i="8"/>
  <c r="AP297" i="5"/>
  <c r="R258" i="8"/>
  <c r="AN247" i="5"/>
  <c r="S13" i="8"/>
  <c r="AP159" i="5"/>
  <c r="AX90" i="5"/>
  <c r="AA119" i="8"/>
  <c r="AC122" i="8"/>
  <c r="AZ93" i="5"/>
  <c r="AO92" i="8"/>
  <c r="BA63" i="5"/>
  <c r="AN282" i="5"/>
  <c r="AB289" i="8"/>
  <c r="AY282" i="5"/>
  <c r="AA101" i="8"/>
  <c r="E16" i="3"/>
  <c r="AX72" i="5"/>
  <c r="R165" i="8"/>
  <c r="AN140" i="5"/>
  <c r="AC132" i="8"/>
  <c r="AZ103" i="5"/>
  <c r="AP211" i="5"/>
  <c r="S226" i="8"/>
  <c r="AO257" i="8"/>
  <c r="BA246" i="5"/>
  <c r="AO45" i="8"/>
  <c r="BA9" i="5"/>
  <c r="Y247" i="8"/>
  <c r="AV235" i="5"/>
  <c r="Y141" i="8"/>
  <c r="AV112" i="5"/>
  <c r="AN345" i="5"/>
  <c r="AY345" i="5"/>
  <c r="AM345" i="8"/>
  <c r="AY345" i="8" s="1"/>
  <c r="O345" i="8" s="1"/>
  <c r="AW56" i="8"/>
  <c r="M56" i="8" s="1"/>
  <c r="AH406" i="8"/>
  <c r="AT406" i="8" s="1"/>
  <c r="J406" i="8" s="1"/>
  <c r="AT415" i="5"/>
  <c r="AN415" i="5"/>
  <c r="U352" i="8"/>
  <c r="AS352" i="8" s="1"/>
  <c r="AR353" i="5"/>
  <c r="AN185" i="5"/>
  <c r="Z251" i="8"/>
  <c r="AX251" i="8" s="1"/>
  <c r="AW239" i="5"/>
  <c r="AC328" i="8"/>
  <c r="AZ327" i="5"/>
  <c r="X345" i="8"/>
  <c r="AV345" i="8" s="1"/>
  <c r="AU345" i="5"/>
  <c r="W296" i="8"/>
  <c r="AT289" i="5"/>
  <c r="AO362" i="8"/>
  <c r="BA364" i="5"/>
  <c r="AR327" i="5"/>
  <c r="U328" i="8"/>
  <c r="AC366" i="8"/>
  <c r="AZ368" i="5"/>
  <c r="Y294" i="8"/>
  <c r="AV287" i="5"/>
  <c r="AX220" i="8"/>
  <c r="N220" i="8" s="1"/>
  <c r="AY202" i="8"/>
  <c r="O202" i="8" s="1"/>
  <c r="AA127" i="8"/>
  <c r="AX98" i="5"/>
  <c r="E18" i="3"/>
  <c r="AX201" i="5"/>
  <c r="AA219" i="8"/>
  <c r="X215" i="8"/>
  <c r="AV215" i="8" s="1"/>
  <c r="AU196" i="5"/>
  <c r="W171" i="8"/>
  <c r="AT146" i="5"/>
  <c r="AN219" i="5"/>
  <c r="X312" i="8"/>
  <c r="AU310" i="5"/>
  <c r="Y295" i="8"/>
  <c r="AV288" i="5"/>
  <c r="Z102" i="8"/>
  <c r="AX102" i="8" s="1"/>
  <c r="AW73" i="5"/>
  <c r="Z151" i="8"/>
  <c r="AX151" i="8" s="1"/>
  <c r="AW126" i="5"/>
  <c r="AG12" i="2"/>
  <c r="AI12" i="2"/>
  <c r="AF87" i="8"/>
  <c r="AR87" i="8" s="1"/>
  <c r="H87" i="8" s="1"/>
  <c r="AC395" i="8"/>
  <c r="AZ403" i="5"/>
  <c r="AC125" i="8"/>
  <c r="AZ96" i="5"/>
  <c r="AC154" i="8"/>
  <c r="AZ129" i="5"/>
  <c r="S139" i="8"/>
  <c r="AP110" i="5"/>
  <c r="Z132" i="8"/>
  <c r="AX132" i="8" s="1"/>
  <c r="AW103" i="5"/>
  <c r="AF57" i="8"/>
  <c r="AR57" i="8" s="1"/>
  <c r="H57" i="8" s="1"/>
  <c r="AR24" i="5"/>
  <c r="AF38" i="2"/>
  <c r="AI38" i="2"/>
  <c r="AG38" i="2"/>
  <c r="Z42" i="8"/>
  <c r="AW6" i="5"/>
  <c r="AN311" i="5"/>
  <c r="AY311" i="5"/>
  <c r="AM313" i="8"/>
  <c r="AY313" i="8" s="1"/>
  <c r="O313" i="8" s="1"/>
  <c r="Y345" i="8"/>
  <c r="AV345" i="5"/>
  <c r="AX379" i="5"/>
  <c r="AA375" i="8"/>
  <c r="AY348" i="5"/>
  <c r="AM348" i="8"/>
  <c r="AY348" i="8" s="1"/>
  <c r="O348" i="8" s="1"/>
  <c r="AN348" i="5"/>
  <c r="AN257" i="5"/>
  <c r="R266" i="8"/>
  <c r="W190" i="8"/>
  <c r="AT167" i="5"/>
  <c r="Z124" i="8"/>
  <c r="AW95" i="5"/>
  <c r="AU261" i="8"/>
  <c r="K261" i="8" s="1"/>
  <c r="BL86" i="2"/>
  <c r="AO102" i="8"/>
  <c r="BA73" i="5"/>
  <c r="AN74" i="5"/>
  <c r="R103" i="8"/>
  <c r="Y403" i="8"/>
  <c r="AV412" i="5"/>
  <c r="AV42" i="5"/>
  <c r="Y73" i="8"/>
  <c r="AP178" i="5"/>
  <c r="AD200" i="8"/>
  <c r="AP200" i="8" s="1"/>
  <c r="F200" i="8" s="1"/>
  <c r="Y197" i="8"/>
  <c r="AV175" i="5"/>
  <c r="AG32" i="8"/>
  <c r="AS351" i="5"/>
  <c r="W247" i="8"/>
  <c r="AT235" i="5"/>
  <c r="V369" i="8"/>
  <c r="AT369" i="8" s="1"/>
  <c r="AS372" i="5"/>
  <c r="X354" i="8"/>
  <c r="AV354" i="8" s="1"/>
  <c r="AU355" i="5"/>
  <c r="BA200" i="5"/>
  <c r="AO18" i="8"/>
  <c r="AC50" i="2"/>
  <c r="AD364" i="8"/>
  <c r="AP364" i="8" s="1"/>
  <c r="AP366" i="5"/>
  <c r="BA180" i="5"/>
  <c r="AO15" i="8"/>
  <c r="U369" i="8"/>
  <c r="AS369" i="8" s="1"/>
  <c r="AR372" i="5"/>
  <c r="Y347" i="8"/>
  <c r="AV347" i="5"/>
  <c r="R72" i="8"/>
  <c r="AN41" i="5"/>
  <c r="Z374" i="8"/>
  <c r="AW378" i="5"/>
  <c r="AD145" i="8"/>
  <c r="AP117" i="5"/>
  <c r="AS186" i="5"/>
  <c r="AG206" i="8"/>
  <c r="X297" i="8"/>
  <c r="AV297" i="8" s="1"/>
  <c r="AU290" i="5"/>
  <c r="Y267" i="8"/>
  <c r="AV258" i="5"/>
  <c r="W259" i="8"/>
  <c r="AT249" i="5"/>
  <c r="Z187" i="8"/>
  <c r="AW164" i="5"/>
  <c r="AA104" i="8"/>
  <c r="AX75" i="5"/>
  <c r="AX157" i="5"/>
  <c r="AA181" i="8"/>
  <c r="AC321" i="8"/>
  <c r="AZ319" i="5"/>
  <c r="AA72" i="8"/>
  <c r="AX41" i="5"/>
  <c r="AO288" i="8"/>
  <c r="BA281" i="5"/>
  <c r="AC211" i="8"/>
  <c r="AZ192" i="5"/>
  <c r="BA221" i="8"/>
  <c r="Q221" i="8" s="1"/>
  <c r="Z370" i="8"/>
  <c r="AW373" i="5"/>
  <c r="AD345" i="8"/>
  <c r="AP345" i="8" s="1"/>
  <c r="F345" i="8" s="1"/>
  <c r="AP345" i="5"/>
  <c r="AU287" i="5"/>
  <c r="X294" i="8"/>
  <c r="AV294" i="8" s="1"/>
  <c r="Z80" i="8"/>
  <c r="AX80" i="8" s="1"/>
  <c r="AW51" i="5"/>
  <c r="AW36" i="5"/>
  <c r="Z67" i="8"/>
  <c r="AX67" i="8" s="1"/>
  <c r="AR41" i="5"/>
  <c r="AF72" i="8"/>
  <c r="AR72" i="8" s="1"/>
  <c r="H72" i="8" s="1"/>
  <c r="AC245" i="8"/>
  <c r="AZ233" i="5"/>
  <c r="BA371" i="5"/>
  <c r="AO368" i="8"/>
  <c r="Y279" i="8"/>
  <c r="AV271" i="5"/>
  <c r="AK392" i="8"/>
  <c r="AW399" i="5"/>
  <c r="AC360" i="8"/>
  <c r="AZ361" i="5"/>
  <c r="R236" i="8"/>
  <c r="AN223" i="5"/>
  <c r="BA312" i="5"/>
  <c r="AO314" i="8"/>
  <c r="AX274" i="5"/>
  <c r="AA282" i="8"/>
  <c r="U187" i="8"/>
  <c r="AR164" i="5"/>
  <c r="W69" i="8"/>
  <c r="AT38" i="5"/>
  <c r="AL71" i="2"/>
  <c r="W210" i="8"/>
  <c r="AT191" i="5"/>
  <c r="X43" i="8"/>
  <c r="AV43" i="8" s="1"/>
  <c r="AU7" i="5"/>
  <c r="AN360" i="5"/>
  <c r="AB359" i="8"/>
  <c r="AY360" i="5"/>
  <c r="AW176" i="5"/>
  <c r="AK198" i="8"/>
  <c r="BA378" i="5"/>
  <c r="AO374" i="8"/>
  <c r="AX368" i="5"/>
  <c r="AA366" i="8"/>
  <c r="AY366" i="8" s="1"/>
  <c r="AC35" i="8"/>
  <c r="AZ374" i="5"/>
  <c r="AO81" i="8"/>
  <c r="BA52" i="5"/>
  <c r="W303" i="8"/>
  <c r="AT297" i="5"/>
  <c r="W209" i="8"/>
  <c r="AT189" i="5"/>
  <c r="AU17" i="5"/>
  <c r="X52" i="8"/>
  <c r="AC12" i="2"/>
  <c r="AD87" i="8"/>
  <c r="AP58" i="5"/>
  <c r="F134" i="8"/>
  <c r="U87" i="8"/>
  <c r="AR58" i="5"/>
  <c r="AF12" i="2"/>
  <c r="W57" i="8"/>
  <c r="AT24" i="5"/>
  <c r="AL38" i="2"/>
  <c r="AR220" i="5"/>
  <c r="AF233" i="8"/>
  <c r="AR233" i="8" s="1"/>
  <c r="H233" i="8" s="1"/>
  <c r="Z268" i="8"/>
  <c r="AW259" i="5"/>
  <c r="AC72" i="2"/>
  <c r="AP196" i="5"/>
  <c r="AD215" i="8"/>
  <c r="AO298" i="8"/>
  <c r="BA291" i="5"/>
  <c r="BA363" i="5"/>
  <c r="AO361" i="8"/>
  <c r="BA361" i="8" s="1"/>
  <c r="AX269" i="5"/>
  <c r="AA277" i="8"/>
  <c r="AX200" i="5"/>
  <c r="AA18" i="8"/>
  <c r="AQ148" i="5"/>
  <c r="AE12" i="8"/>
  <c r="AA61" i="8"/>
  <c r="AX29" i="5"/>
  <c r="AA276" i="8"/>
  <c r="AX268" i="5"/>
  <c r="AA48" i="8"/>
  <c r="AX13" i="5"/>
  <c r="BA316" i="5"/>
  <c r="AO318" i="8"/>
  <c r="AX119" i="8"/>
  <c r="N119" i="8" s="1"/>
  <c r="AC268" i="8"/>
  <c r="AZ259" i="5"/>
  <c r="V375" i="8"/>
  <c r="AT375" i="8" s="1"/>
  <c r="AS379" i="5"/>
  <c r="AF135" i="8"/>
  <c r="AR135" i="8" s="1"/>
  <c r="H135" i="8" s="1"/>
  <c r="AR106" i="5"/>
  <c r="AU88" i="8"/>
  <c r="K88" i="8" s="1"/>
  <c r="Z162" i="8"/>
  <c r="AW137" i="5"/>
  <c r="AC101" i="8"/>
  <c r="AZ72" i="5"/>
  <c r="AO230" i="8"/>
  <c r="BA217" i="5"/>
  <c r="R185" i="8"/>
  <c r="AN162" i="5"/>
  <c r="AN16" i="5"/>
  <c r="R51" i="8"/>
  <c r="AP49" i="5"/>
  <c r="AD7" i="8"/>
  <c r="W365" i="8"/>
  <c r="AT367" i="5"/>
  <c r="Y115" i="8"/>
  <c r="AV86" i="5"/>
  <c r="W8" i="8"/>
  <c r="AT113" i="5"/>
  <c r="BA108" i="5"/>
  <c r="AO137" i="8"/>
  <c r="AC345" i="8"/>
  <c r="AZ345" i="5"/>
  <c r="AA258" i="8"/>
  <c r="AX247" i="5"/>
  <c r="Y300" i="8"/>
  <c r="AV293" i="5"/>
  <c r="Z16" i="8"/>
  <c r="AW183" i="5"/>
  <c r="AX115" i="5"/>
  <c r="AA143" i="8"/>
  <c r="AF94" i="8"/>
  <c r="AR94" i="8" s="1"/>
  <c r="H94" i="8" s="1"/>
  <c r="AR65" i="5"/>
  <c r="U310" i="8"/>
  <c r="AR308" i="5"/>
  <c r="AA161" i="8"/>
  <c r="AX136" i="5"/>
  <c r="AC206" i="8"/>
  <c r="AZ186" i="5"/>
  <c r="AE118" i="8"/>
  <c r="AQ89" i="5"/>
  <c r="AO286" i="8"/>
  <c r="BA278" i="5"/>
  <c r="AO127" i="8"/>
  <c r="BA98" i="5"/>
  <c r="AO51" i="8"/>
  <c r="BA16" i="5"/>
  <c r="W256" i="8"/>
  <c r="AT245" i="5"/>
  <c r="W181" i="8"/>
  <c r="AT157" i="5"/>
  <c r="R216" i="8"/>
  <c r="AD255" i="8"/>
  <c r="AP244" i="5"/>
  <c r="R58" i="8"/>
  <c r="AN25" i="5"/>
  <c r="AC291" i="8"/>
  <c r="AZ284" i="5"/>
  <c r="AK38" i="8"/>
  <c r="AW407" i="5"/>
  <c r="AZ197" i="8"/>
  <c r="P197" i="8" s="1"/>
  <c r="P3" i="8"/>
  <c r="Y34" i="8"/>
  <c r="AW34" i="8" s="1"/>
  <c r="AV370" i="5"/>
  <c r="Y355" i="8"/>
  <c r="AV356" i="5"/>
  <c r="Z366" i="8"/>
  <c r="AW368" i="5"/>
  <c r="AS255" i="5"/>
  <c r="AG264" i="8"/>
  <c r="AD290" i="8"/>
  <c r="AP290" i="8" s="1"/>
  <c r="F290" i="8" s="1"/>
  <c r="AP283" i="5"/>
  <c r="AC278" i="8"/>
  <c r="AZ270" i="5"/>
  <c r="BA226" i="5"/>
  <c r="AO239" i="8"/>
  <c r="R281" i="8"/>
  <c r="AP281" i="8" s="1"/>
  <c r="AN273" i="5"/>
  <c r="AN191" i="5"/>
  <c r="N160" i="8"/>
  <c r="BA142" i="8"/>
  <c r="Q142" i="8" s="1"/>
  <c r="BA126" i="8"/>
  <c r="AV280" i="5"/>
  <c r="F189" i="8"/>
  <c r="AR352" i="5"/>
  <c r="AV95" i="5"/>
  <c r="BA342" i="8"/>
  <c r="Q342" i="8" s="1"/>
  <c r="M188" i="8"/>
  <c r="AN112" i="5"/>
  <c r="L170" i="8"/>
  <c r="F170" i="8"/>
  <c r="AZ284" i="8"/>
  <c r="P284" i="8" s="1"/>
  <c r="AN302" i="5"/>
  <c r="L22" i="8"/>
  <c r="N261" i="8"/>
  <c r="E8" i="3"/>
  <c r="AX261" i="5"/>
  <c r="AA270" i="8"/>
  <c r="AZ370" i="5"/>
  <c r="AN34" i="8"/>
  <c r="AY314" i="5"/>
  <c r="AM316" i="8"/>
  <c r="AY316" i="8" s="1"/>
  <c r="O316" i="8" s="1"/>
  <c r="AN314" i="5"/>
  <c r="S229" i="8"/>
  <c r="AP216" i="5"/>
  <c r="AP10" i="5"/>
  <c r="AD46" i="8"/>
  <c r="S155" i="8"/>
  <c r="AP130" i="5"/>
  <c r="X315" i="8"/>
  <c r="AV315" i="8" s="1"/>
  <c r="AU313" i="5"/>
  <c r="W164" i="8"/>
  <c r="AT139" i="5"/>
  <c r="AT271" i="5"/>
  <c r="AH279" i="8"/>
  <c r="AT279" i="8" s="1"/>
  <c r="J279" i="8" s="1"/>
  <c r="AC246" i="8"/>
  <c r="AZ234" i="5"/>
  <c r="AF183" i="8"/>
  <c r="AR183" i="8" s="1"/>
  <c r="H183" i="8" s="1"/>
  <c r="AR160" i="5"/>
  <c r="X183" i="8"/>
  <c r="AU160" i="5"/>
  <c r="X367" i="8"/>
  <c r="AV367" i="8" s="1"/>
  <c r="AU369" i="5"/>
  <c r="AX211" i="5"/>
  <c r="AA226" i="8"/>
  <c r="AW402" i="5"/>
  <c r="AK394" i="8"/>
  <c r="O202" i="5"/>
  <c r="AN202" i="5" s="1"/>
  <c r="AG220" i="8"/>
  <c r="X186" i="8"/>
  <c r="AV186" i="8" s="1"/>
  <c r="AU163" i="5"/>
  <c r="Y292" i="8"/>
  <c r="AV285" i="5"/>
  <c r="X211" i="8"/>
  <c r="AV211" i="8" s="1"/>
  <c r="AU192" i="5"/>
  <c r="W321" i="8"/>
  <c r="AU321" i="8" s="1"/>
  <c r="AT319" i="5"/>
  <c r="AA57" i="8"/>
  <c r="E24" i="3"/>
  <c r="AX24" i="5"/>
  <c r="AX165" i="5"/>
  <c r="AA188" i="8"/>
  <c r="Z214" i="8"/>
  <c r="AW195" i="5"/>
  <c r="W9" i="8"/>
  <c r="AT123" i="5"/>
  <c r="AV124" i="5"/>
  <c r="Y10" i="8"/>
  <c r="X332" i="8"/>
  <c r="AU332" i="5"/>
  <c r="AY344" i="5"/>
  <c r="AM344" i="8"/>
  <c r="AY344" i="8" s="1"/>
  <c r="O344" i="8" s="1"/>
  <c r="AN344" i="5"/>
  <c r="AF302" i="8"/>
  <c r="AR302" i="8" s="1"/>
  <c r="H302" i="8" s="1"/>
  <c r="AR295" i="5"/>
  <c r="Y320" i="8"/>
  <c r="AV318" i="5"/>
  <c r="AC9" i="8"/>
  <c r="AZ123" i="5"/>
  <c r="Y313" i="8"/>
  <c r="AV311" i="5"/>
  <c r="AA243" i="8"/>
  <c r="AX231" i="5"/>
  <c r="AX148" i="5"/>
  <c r="AA12" i="8"/>
  <c r="AN132" i="5"/>
  <c r="R157" i="8"/>
  <c r="AR39" i="5"/>
  <c r="AG7" i="2"/>
  <c r="AF7" i="2"/>
  <c r="AI7" i="2"/>
  <c r="AF70" i="8"/>
  <c r="AR70" i="8" s="1"/>
  <c r="H70" i="8" s="1"/>
  <c r="W49" i="8"/>
  <c r="AT14" i="5"/>
  <c r="X318" i="8"/>
  <c r="AU316" i="5"/>
  <c r="W373" i="8"/>
  <c r="AU373" i="8" s="1"/>
  <c r="AT377" i="5"/>
  <c r="W360" i="8"/>
  <c r="AT361" i="5"/>
  <c r="Z245" i="8"/>
  <c r="AX245" i="8" s="1"/>
  <c r="AW233" i="5"/>
  <c r="AC146" i="8"/>
  <c r="AZ118" i="5"/>
  <c r="Y230" i="8"/>
  <c r="AV217" i="5"/>
  <c r="BA366" i="5"/>
  <c r="AO364" i="8"/>
  <c r="W337" i="8"/>
  <c r="AT337" i="5"/>
  <c r="Y258" i="8"/>
  <c r="AV247" i="5"/>
  <c r="AO13" i="8"/>
  <c r="BA159" i="5"/>
  <c r="Y132" i="8"/>
  <c r="AV103" i="5"/>
  <c r="Z49" i="8"/>
  <c r="AX49" i="8" s="1"/>
  <c r="AW14" i="5"/>
  <c r="AK80" i="2"/>
  <c r="AG308" i="8"/>
  <c r="AS308" i="8" s="1"/>
  <c r="I308" i="8" s="1"/>
  <c r="AS306" i="5"/>
  <c r="AX106" i="5"/>
  <c r="AA135" i="8"/>
  <c r="U206" i="8"/>
  <c r="AR186" i="5"/>
  <c r="BJ95" i="2"/>
  <c r="AC215" i="8"/>
  <c r="AZ196" i="5"/>
  <c r="W147" i="8"/>
  <c r="AT119" i="5"/>
  <c r="AS265" i="5"/>
  <c r="AG27" i="8"/>
  <c r="W359" i="8"/>
  <c r="AU359" i="8" s="1"/>
  <c r="AT360" i="5"/>
  <c r="AC29" i="2"/>
  <c r="AD5" i="8"/>
  <c r="AP31" i="5"/>
  <c r="Z173" i="8"/>
  <c r="AX173" i="8" s="1"/>
  <c r="AW149" i="5"/>
  <c r="AF260" i="8"/>
  <c r="AR260" i="8" s="1"/>
  <c r="H260" i="8" s="1"/>
  <c r="AR250" i="5"/>
  <c r="AC72" i="8"/>
  <c r="AZ41" i="5"/>
  <c r="AC181" i="8"/>
  <c r="AZ157" i="5"/>
  <c r="AT176" i="5"/>
  <c r="AH198" i="8"/>
  <c r="AT198" i="8" s="1"/>
  <c r="J198" i="8" s="1"/>
  <c r="AC247" i="8"/>
  <c r="AZ235" i="5"/>
  <c r="AR158" i="5"/>
  <c r="AF182" i="8"/>
  <c r="AR182" i="8" s="1"/>
  <c r="H182" i="8" s="1"/>
  <c r="AB90" i="8"/>
  <c r="AY61" i="5"/>
  <c r="AO157" i="8"/>
  <c r="BA132" i="5"/>
  <c r="Y179" i="8"/>
  <c r="AV155" i="5"/>
  <c r="R182" i="8"/>
  <c r="AP182" i="8" s="1"/>
  <c r="AN158" i="5"/>
  <c r="Y288" i="8"/>
  <c r="AV281" i="5"/>
  <c r="AV77" i="5"/>
  <c r="Y106" i="8"/>
  <c r="BA158" i="5"/>
  <c r="AO182" i="8"/>
  <c r="BA182" i="8" s="1"/>
  <c r="Y234" i="8"/>
  <c r="AV221" i="5"/>
  <c r="U234" i="8"/>
  <c r="AR221" i="5"/>
  <c r="AC299" i="8"/>
  <c r="AZ292" i="5"/>
  <c r="X340" i="8"/>
  <c r="AV340" i="8" s="1"/>
  <c r="AU340" i="5"/>
  <c r="AC303" i="8"/>
  <c r="AZ297" i="5"/>
  <c r="AU227" i="5"/>
  <c r="X240" i="8"/>
  <c r="R12" i="8"/>
  <c r="AN148" i="5"/>
  <c r="AX147" i="5"/>
  <c r="AA172" i="8"/>
  <c r="AW86" i="5"/>
  <c r="Z115" i="8"/>
  <c r="BA79" i="5"/>
  <c r="AO108" i="8"/>
  <c r="Z79" i="8"/>
  <c r="AX79" i="8" s="1"/>
  <c r="AW50" i="5"/>
  <c r="AG310" i="8"/>
  <c r="AS308" i="5"/>
  <c r="AA91" i="8"/>
  <c r="AX62" i="5"/>
  <c r="X311" i="8"/>
  <c r="AV311" i="8" s="1"/>
  <c r="AU309" i="5"/>
  <c r="Y137" i="8"/>
  <c r="AV108" i="5"/>
  <c r="AX241" i="5"/>
  <c r="AA252" i="8"/>
  <c r="AW48" i="8"/>
  <c r="AO173" i="8"/>
  <c r="BA149" i="5"/>
  <c r="R255" i="8"/>
  <c r="AN244" i="5"/>
  <c r="E2" i="12"/>
  <c r="AD262" i="8"/>
  <c r="AP262" i="8" s="1"/>
  <c r="AP252" i="5"/>
  <c r="X151" i="8"/>
  <c r="AU126" i="5"/>
  <c r="Y274" i="8"/>
  <c r="AV266" i="5"/>
  <c r="Y207" i="8"/>
  <c r="AW207" i="8" s="1"/>
  <c r="AV187" i="5"/>
  <c r="BB95" i="2"/>
  <c r="X9" i="8"/>
  <c r="AU123" i="5"/>
  <c r="Y219" i="8"/>
  <c r="AV201" i="5"/>
  <c r="AS123" i="5"/>
  <c r="AG9" i="8"/>
  <c r="AX363" i="5"/>
  <c r="AA361" i="8"/>
  <c r="AY361" i="8" s="1"/>
  <c r="AX356" i="5"/>
  <c r="AA355" i="8"/>
  <c r="AY355" i="8" s="1"/>
  <c r="AD369" i="8"/>
  <c r="AP369" i="8" s="1"/>
  <c r="AP372" i="5"/>
  <c r="AG234" i="8"/>
  <c r="AS221" i="5"/>
  <c r="AT400" i="5"/>
  <c r="AN400" i="5"/>
  <c r="AH393" i="8"/>
  <c r="AT393" i="8" s="1"/>
  <c r="J393" i="8" s="1"/>
  <c r="X333" i="8"/>
  <c r="AU333" i="5"/>
  <c r="Z301" i="8"/>
  <c r="AX301" i="8" s="1"/>
  <c r="AW294" i="5"/>
  <c r="AR63" i="5"/>
  <c r="AF92" i="8"/>
  <c r="AR92" i="8" s="1"/>
  <c r="H92" i="8" s="1"/>
  <c r="R65" i="8"/>
  <c r="AN34" i="5"/>
  <c r="AB21" i="8"/>
  <c r="AY205" i="5"/>
  <c r="AL67" i="2"/>
  <c r="W374" i="8"/>
  <c r="AU374" i="8" s="1"/>
  <c r="AT378" i="5"/>
  <c r="AY336" i="5"/>
  <c r="AM336" i="8"/>
  <c r="AY336" i="8" s="1"/>
  <c r="O336" i="8" s="1"/>
  <c r="AN336" i="5"/>
  <c r="Y375" i="8"/>
  <c r="AV379" i="5"/>
  <c r="W145" i="8"/>
  <c r="AT117" i="5"/>
  <c r="AC205" i="8"/>
  <c r="AZ185" i="5"/>
  <c r="S234" i="8"/>
  <c r="AP221" i="5"/>
  <c r="Z303" i="8"/>
  <c r="AW297" i="5"/>
  <c r="Z216" i="8"/>
  <c r="AW197" i="5"/>
  <c r="BB86" i="2"/>
  <c r="AT404" i="5"/>
  <c r="AN404" i="5"/>
  <c r="AH396" i="8"/>
  <c r="AT396" i="8" s="1"/>
  <c r="J396" i="8" s="1"/>
  <c r="AP279" i="5"/>
  <c r="AD28" i="8"/>
  <c r="AP18" i="5"/>
  <c r="AD53" i="8"/>
  <c r="AW415" i="5"/>
  <c r="AK406" i="8"/>
  <c r="AS89" i="2"/>
  <c r="AC134" i="8"/>
  <c r="AZ105" i="5"/>
  <c r="BL89" i="2"/>
  <c r="Z229" i="8"/>
  <c r="AW216" i="5"/>
  <c r="AD203" i="8"/>
  <c r="AP203" i="8" s="1"/>
  <c r="F203" i="8" s="1"/>
  <c r="AN182" i="5"/>
  <c r="U338" i="8"/>
  <c r="AS338" i="8" s="1"/>
  <c r="AR338" i="5"/>
  <c r="AN357" i="5"/>
  <c r="AB356" i="8"/>
  <c r="AY357" i="5"/>
  <c r="Y324" i="8"/>
  <c r="AV322" i="5"/>
  <c r="AX209" i="5"/>
  <c r="AA224" i="8"/>
  <c r="AX229" i="5"/>
  <c r="AA241" i="8"/>
  <c r="R163" i="8"/>
  <c r="AN138" i="5"/>
  <c r="Z319" i="8"/>
  <c r="AW317" i="5"/>
  <c r="AF79" i="2"/>
  <c r="U315" i="8"/>
  <c r="AR313" i="5"/>
  <c r="R275" i="8"/>
  <c r="AN267" i="5"/>
  <c r="AL313" i="8"/>
  <c r="AX311" i="5"/>
  <c r="AY306" i="5"/>
  <c r="AM308" i="8"/>
  <c r="AY308" i="8" s="1"/>
  <c r="O308" i="8" s="1"/>
  <c r="AN306" i="5"/>
  <c r="BA58" i="5"/>
  <c r="AO87" i="8"/>
  <c r="W265" i="8"/>
  <c r="AT256" i="5"/>
  <c r="AN84" i="5"/>
  <c r="R113" i="8"/>
  <c r="AC39" i="2"/>
  <c r="AD43" i="8"/>
  <c r="AP7" i="5"/>
  <c r="R56" i="8"/>
  <c r="AC348" i="8"/>
  <c r="AZ348" i="5"/>
  <c r="AN381" i="5"/>
  <c r="AB377" i="8"/>
  <c r="AY381" i="5"/>
  <c r="AV205" i="8"/>
  <c r="L205" i="8" s="1"/>
  <c r="AQ95" i="2"/>
  <c r="Y251" i="8"/>
  <c r="AV239" i="5"/>
  <c r="BA213" i="5"/>
  <c r="AO228" i="8"/>
  <c r="Y344" i="8"/>
  <c r="AV344" i="5"/>
  <c r="AC259" i="8"/>
  <c r="AZ249" i="5"/>
  <c r="AU164" i="5"/>
  <c r="X187" i="8"/>
  <c r="AC156" i="8"/>
  <c r="AZ131" i="5"/>
  <c r="AP48" i="5"/>
  <c r="AD6" i="8"/>
  <c r="Z55" i="8"/>
  <c r="AX55" i="8" s="1"/>
  <c r="AW22" i="5"/>
  <c r="AL72" i="2"/>
  <c r="W215" i="8"/>
  <c r="AT196" i="5"/>
  <c r="AC152" i="8"/>
  <c r="AZ127" i="5"/>
  <c r="Y241" i="8"/>
  <c r="AV229" i="5"/>
  <c r="AL58" i="2"/>
  <c r="W242" i="8"/>
  <c r="AT230" i="5"/>
  <c r="W68" i="8"/>
  <c r="AT37" i="5"/>
  <c r="AN192" i="5"/>
  <c r="AB211" i="8"/>
  <c r="AY192" i="5"/>
  <c r="AS344" i="5"/>
  <c r="AG344" i="8"/>
  <c r="AC242" i="8"/>
  <c r="AZ230" i="5"/>
  <c r="Y172" i="8"/>
  <c r="AV147" i="5"/>
  <c r="Z130" i="8"/>
  <c r="AW101" i="5"/>
  <c r="AC391" i="8"/>
  <c r="AZ398" i="5"/>
  <c r="AC80" i="8"/>
  <c r="AZ51" i="5"/>
  <c r="AV36" i="5"/>
  <c r="Y67" i="8"/>
  <c r="U307" i="8"/>
  <c r="AR305" i="5"/>
  <c r="AF46" i="2"/>
  <c r="AO58" i="8"/>
  <c r="BA25" i="5"/>
  <c r="W233" i="8"/>
  <c r="AT220" i="5"/>
  <c r="AC20" i="8"/>
  <c r="AZ204" i="5"/>
  <c r="U373" i="8"/>
  <c r="AS373" i="8" s="1"/>
  <c r="AR377" i="5"/>
  <c r="V351" i="8"/>
  <c r="AT351" i="8" s="1"/>
  <c r="AS352" i="5"/>
  <c r="AP17" i="8"/>
  <c r="F17" i="8" s="1"/>
  <c r="AP338" i="5"/>
  <c r="AD338" i="8"/>
  <c r="AP338" i="8" s="1"/>
  <c r="F338" i="8" s="1"/>
  <c r="Y406" i="8"/>
  <c r="AV415" i="5"/>
  <c r="Y338" i="8"/>
  <c r="AV338" i="5"/>
  <c r="W282" i="8"/>
  <c r="AT274" i="5"/>
  <c r="AF170" i="8"/>
  <c r="AR170" i="8" s="1"/>
  <c r="H170" i="8" s="1"/>
  <c r="AR145" i="5"/>
  <c r="AA96" i="8"/>
  <c r="AX67" i="5"/>
  <c r="AD74" i="8"/>
  <c r="AP43" i="5"/>
  <c r="AC69" i="2"/>
  <c r="AA4" i="8"/>
  <c r="AX28" i="5"/>
  <c r="R137" i="8"/>
  <c r="AP137" i="8" s="1"/>
  <c r="AN108" i="5"/>
  <c r="AN288" i="5"/>
  <c r="AC4" i="8"/>
  <c r="AZ28" i="5"/>
  <c r="S224" i="8"/>
  <c r="AP209" i="5"/>
  <c r="BA121" i="5"/>
  <c r="AO149" i="8"/>
  <c r="AO177" i="8"/>
  <c r="BA177" i="8" s="1"/>
  <c r="BA153" i="5"/>
  <c r="W28" i="8"/>
  <c r="AU28" i="8" s="1"/>
  <c r="AT279" i="5"/>
  <c r="AP154" i="5"/>
  <c r="AD178" i="8"/>
  <c r="Y246" i="8"/>
  <c r="AV234" i="5"/>
  <c r="AF287" i="8"/>
  <c r="AR287" i="8" s="1"/>
  <c r="H287" i="8" s="1"/>
  <c r="AR280" i="5"/>
  <c r="U220" i="8"/>
  <c r="AR202" i="5"/>
  <c r="AF31" i="2"/>
  <c r="AY333" i="5"/>
  <c r="AM333" i="8"/>
  <c r="AY333" i="8" s="1"/>
  <c r="O333" i="8" s="1"/>
  <c r="AN333" i="5"/>
  <c r="D2" i="12"/>
  <c r="AT414" i="5"/>
  <c r="AH405" i="8"/>
  <c r="AT405" i="8" s="1"/>
  <c r="J405" i="8" s="1"/>
  <c r="AN414" i="5"/>
  <c r="U364" i="8"/>
  <c r="AS364" i="8" s="1"/>
  <c r="AF50" i="2"/>
  <c r="AR366" i="5"/>
  <c r="I309" i="8"/>
  <c r="X10" i="8"/>
  <c r="AU124" i="5"/>
  <c r="AC312" i="8"/>
  <c r="BA312" i="8" s="1"/>
  <c r="AZ310" i="5"/>
  <c r="X307" i="8"/>
  <c r="AV307" i="8" s="1"/>
  <c r="AU305" i="5"/>
  <c r="X285" i="8"/>
  <c r="AV285" i="8" s="1"/>
  <c r="AU277" i="5"/>
  <c r="W264" i="8"/>
  <c r="AT255" i="5"/>
  <c r="BA365" i="5"/>
  <c r="AO363" i="8"/>
  <c r="AS183" i="5"/>
  <c r="AG16" i="8"/>
  <c r="AS16" i="8" s="1"/>
  <c r="I16" i="8" s="1"/>
  <c r="AF48" i="2"/>
  <c r="U312" i="8"/>
  <c r="AR310" i="5"/>
  <c r="X379" i="8"/>
  <c r="AU383" i="5"/>
  <c r="AX295" i="5"/>
  <c r="AA302" i="8"/>
  <c r="AX238" i="5"/>
  <c r="AA250" i="8"/>
  <c r="W179" i="8"/>
  <c r="AT155" i="5"/>
  <c r="Y50" i="8"/>
  <c r="AV15" i="5"/>
  <c r="E19" i="3"/>
  <c r="AX202" i="5"/>
  <c r="AA220" i="8"/>
  <c r="X68" i="8"/>
  <c r="AU37" i="5"/>
  <c r="W133" i="8"/>
  <c r="AT104" i="5"/>
  <c r="AC343" i="8"/>
  <c r="AZ343" i="5"/>
  <c r="Y297" i="8"/>
  <c r="AV290" i="5"/>
  <c r="Z141" i="8"/>
  <c r="AW112" i="5"/>
  <c r="AF303" i="8"/>
  <c r="AR303" i="8" s="1"/>
  <c r="H303" i="8" s="1"/>
  <c r="AR297" i="5"/>
  <c r="AC286" i="8"/>
  <c r="AZ278" i="5"/>
  <c r="AC97" i="8"/>
  <c r="AZ68" i="5"/>
  <c r="AZ17" i="5"/>
  <c r="AC52" i="8"/>
  <c r="Z4" i="8"/>
  <c r="AW28" i="5"/>
  <c r="AR26" i="5"/>
  <c r="AF59" i="8"/>
  <c r="AR59" i="8" s="1"/>
  <c r="H59" i="8" s="1"/>
  <c r="AD82" i="8"/>
  <c r="AP53" i="5"/>
  <c r="AN309" i="5"/>
  <c r="AY309" i="5"/>
  <c r="AM311" i="8"/>
  <c r="AY311" i="8" s="1"/>
  <c r="O311" i="8" s="1"/>
  <c r="Y307" i="8"/>
  <c r="AV305" i="5"/>
  <c r="U41" i="8"/>
  <c r="AR4" i="5"/>
  <c r="AX381" i="5"/>
  <c r="AA377" i="8"/>
  <c r="U332" i="8"/>
  <c r="AR332" i="5"/>
  <c r="AN153" i="5"/>
  <c r="R177" i="8"/>
  <c r="AC22" i="2"/>
  <c r="AP94" i="5"/>
  <c r="AD123" i="8"/>
  <c r="AQ15" i="5"/>
  <c r="AE50" i="8"/>
  <c r="AQ50" i="8" s="1"/>
  <c r="AV238" i="8"/>
  <c r="AO271" i="8"/>
  <c r="BA262" i="5"/>
  <c r="R101" i="8"/>
  <c r="AN72" i="5"/>
  <c r="Y25" i="8"/>
  <c r="AV248" i="5"/>
  <c r="AD140" i="8"/>
  <c r="AP140" i="8" s="1"/>
  <c r="AP111" i="5"/>
  <c r="Y199" i="8"/>
  <c r="AV177" i="5"/>
  <c r="AG330" i="8"/>
  <c r="AS329" i="5"/>
  <c r="R105" i="8"/>
  <c r="AN76" i="5"/>
  <c r="W249" i="8"/>
  <c r="AT237" i="5"/>
  <c r="V356" i="8"/>
  <c r="AT356" i="8" s="1"/>
  <c r="AS357" i="5"/>
  <c r="V370" i="8"/>
  <c r="AT370" i="8" s="1"/>
  <c r="AS373" i="5"/>
  <c r="X34" i="8"/>
  <c r="AV34" i="8" s="1"/>
  <c r="AU370" i="5"/>
  <c r="AO56" i="8"/>
  <c r="BA23" i="5"/>
  <c r="AD367" i="8"/>
  <c r="AP367" i="8" s="1"/>
  <c r="F367" i="8" s="1"/>
  <c r="AP369" i="5"/>
  <c r="U56" i="8"/>
  <c r="AF36" i="2"/>
  <c r="AR23" i="5"/>
  <c r="AO203" i="8"/>
  <c r="BA182" i="5"/>
  <c r="U370" i="8"/>
  <c r="AS370" i="8" s="1"/>
  <c r="AR373" i="5"/>
  <c r="Y328" i="8"/>
  <c r="AV327" i="5"/>
  <c r="R78" i="8"/>
  <c r="AN47" i="5"/>
  <c r="Z379" i="8"/>
  <c r="AW383" i="5"/>
  <c r="AP260" i="5"/>
  <c r="AD269" i="8"/>
  <c r="AC73" i="2"/>
  <c r="X302" i="8"/>
  <c r="AV302" i="8" s="1"/>
  <c r="AU295" i="5"/>
  <c r="Y227" i="8"/>
  <c r="AV212" i="5"/>
  <c r="AO258" i="8"/>
  <c r="BA258" i="8" s="1"/>
  <c r="BA247" i="5"/>
  <c r="AX110" i="5"/>
  <c r="AA139" i="8"/>
  <c r="E35" i="3"/>
  <c r="AA84" i="8"/>
  <c r="AX55" i="5"/>
  <c r="AX137" i="5"/>
  <c r="AA162" i="8"/>
  <c r="AC318" i="8"/>
  <c r="AZ316" i="5"/>
  <c r="AC17" i="8"/>
  <c r="AZ190" i="5"/>
  <c r="Z358" i="8"/>
  <c r="AW359" i="5"/>
  <c r="AD322" i="8"/>
  <c r="AP322" i="8" s="1"/>
  <c r="F322" i="8" s="1"/>
  <c r="AP320" i="5"/>
  <c r="X296" i="8"/>
  <c r="AV296" i="8" s="1"/>
  <c r="AU289" i="5"/>
  <c r="Z81" i="8"/>
  <c r="AX81" i="8" s="1"/>
  <c r="AW52" i="5"/>
  <c r="Z44" i="8"/>
  <c r="AW8" i="5"/>
  <c r="AF25" i="8"/>
  <c r="AR25" i="8" s="1"/>
  <c r="H25" i="8" s="1"/>
  <c r="AR248" i="5"/>
  <c r="AG25" i="2"/>
  <c r="AI25" i="2"/>
  <c r="AF25" i="2"/>
  <c r="AR100" i="5"/>
  <c r="AF129" i="8"/>
  <c r="AR129" i="8" s="1"/>
  <c r="H129" i="8" s="1"/>
  <c r="AC198" i="8"/>
  <c r="AZ176" i="5"/>
  <c r="BA362" i="5"/>
  <c r="AO33" i="8"/>
  <c r="Y245" i="8"/>
  <c r="AW245" i="8" s="1"/>
  <c r="AV233" i="5"/>
  <c r="AC370" i="8"/>
  <c r="AZ373" i="5"/>
  <c r="S196" i="8"/>
  <c r="AP174" i="5"/>
  <c r="R252" i="8"/>
  <c r="AN241" i="5"/>
  <c r="BA311" i="5"/>
  <c r="AO313" i="8"/>
  <c r="W263" i="8"/>
  <c r="AT253" i="5"/>
  <c r="AX134" i="5"/>
  <c r="AA159" i="8"/>
  <c r="AE171" i="8"/>
  <c r="AQ171" i="8" s="1"/>
  <c r="AQ146" i="5"/>
  <c r="AN359" i="5"/>
  <c r="AB358" i="8"/>
  <c r="AZ358" i="8" s="1"/>
  <c r="AY359" i="5"/>
  <c r="BA374" i="5"/>
  <c r="AO35" i="8"/>
  <c r="AC379" i="8"/>
  <c r="AZ383" i="5"/>
  <c r="AO121" i="8"/>
  <c r="BA92" i="5"/>
  <c r="W16" i="8"/>
  <c r="AT183" i="5"/>
  <c r="W216" i="8"/>
  <c r="AT197" i="5"/>
  <c r="AL30" i="2"/>
  <c r="AE230" i="8"/>
  <c r="AQ217" i="5"/>
  <c r="AC30" i="2"/>
  <c r="AD216" i="8"/>
  <c r="AP197" i="5"/>
  <c r="P20" i="8"/>
  <c r="X259" i="8"/>
  <c r="AV259" i="8" s="1"/>
  <c r="AU249" i="5"/>
  <c r="X220" i="8"/>
  <c r="AU202" i="5"/>
  <c r="AN55" i="5"/>
  <c r="Z267" i="8"/>
  <c r="AX267" i="8" s="1"/>
  <c r="AW258" i="5"/>
  <c r="AR219" i="5"/>
  <c r="AF232" i="8"/>
  <c r="AR232" i="8" s="1"/>
  <c r="H232" i="8" s="1"/>
  <c r="Z269" i="8"/>
  <c r="AW260" i="5"/>
  <c r="AD371" i="8"/>
  <c r="AP371" i="8" s="1"/>
  <c r="F371" i="8" s="1"/>
  <c r="AP375" i="5"/>
  <c r="AO295" i="8"/>
  <c r="BA288" i="5"/>
  <c r="Y401" i="8"/>
  <c r="AV410" i="5"/>
  <c r="AX246" i="5"/>
  <c r="AA257" i="8"/>
  <c r="E13" i="3"/>
  <c r="AX218" i="5"/>
  <c r="AA231" i="8"/>
  <c r="Y191" i="8"/>
  <c r="AV168" i="5"/>
  <c r="AC157" i="8"/>
  <c r="AZ132" i="5"/>
  <c r="AC19" i="2"/>
  <c r="S45" i="8"/>
  <c r="AP9" i="5"/>
  <c r="V379" i="8"/>
  <c r="AS383" i="5"/>
  <c r="AW18" i="5"/>
  <c r="Z53" i="8"/>
  <c r="AC262" i="8"/>
  <c r="AZ252" i="5"/>
  <c r="AD121" i="8"/>
  <c r="AP92" i="5"/>
  <c r="BA155" i="5"/>
  <c r="AO179" i="8"/>
  <c r="AC335" i="8"/>
  <c r="AZ335" i="5"/>
  <c r="R127" i="8"/>
  <c r="AN98" i="5"/>
  <c r="AN17" i="5"/>
  <c r="R52" i="8"/>
  <c r="AD71" i="8"/>
  <c r="AP40" i="5"/>
  <c r="AK146" i="8"/>
  <c r="AW118" i="5"/>
  <c r="Y112" i="8"/>
  <c r="AV83" i="5"/>
  <c r="W67" i="8"/>
  <c r="AT36" i="5"/>
  <c r="AO147" i="8"/>
  <c r="BA119" i="5"/>
  <c r="AC330" i="8"/>
  <c r="AZ329" i="5"/>
  <c r="AC234" i="8"/>
  <c r="AZ221" i="5"/>
  <c r="U21" i="8"/>
  <c r="AR205" i="5"/>
  <c r="AF34" i="2"/>
  <c r="AO249" i="8"/>
  <c r="BA249" i="8" s="1"/>
  <c r="BA237" i="5"/>
  <c r="AC212" i="8"/>
  <c r="BA212" i="8" s="1"/>
  <c r="AZ193" i="5"/>
  <c r="AR124" i="5"/>
  <c r="AF10" i="8"/>
  <c r="AR10" i="8" s="1"/>
  <c r="H10" i="8" s="1"/>
  <c r="X128" i="8"/>
  <c r="AV128" i="8" s="1"/>
  <c r="AU99" i="5"/>
  <c r="AY94" i="8"/>
  <c r="O94" i="8" s="1"/>
  <c r="Z87" i="8"/>
  <c r="AW58" i="5"/>
  <c r="N89" i="8"/>
  <c r="U318" i="8"/>
  <c r="AR316" i="5"/>
  <c r="AX144" i="5"/>
  <c r="AA169" i="8"/>
  <c r="AC223" i="8"/>
  <c r="AZ208" i="5"/>
  <c r="AZ296" i="8"/>
  <c r="P296" i="8" s="1"/>
  <c r="AP124" i="5"/>
  <c r="AD10" i="8"/>
  <c r="AO255" i="8"/>
  <c r="BA244" i="5"/>
  <c r="AO125" i="8"/>
  <c r="BA96" i="5"/>
  <c r="AO52" i="8"/>
  <c r="BA17" i="5"/>
  <c r="W146" i="8"/>
  <c r="AT118" i="5"/>
  <c r="W168" i="8"/>
  <c r="AT143" i="5"/>
  <c r="AN195" i="5"/>
  <c r="R214" i="8"/>
  <c r="AD161" i="8"/>
  <c r="AP136" i="5"/>
  <c r="AC219" i="8"/>
  <c r="AZ201" i="5"/>
  <c r="AQ110" i="5"/>
  <c r="AE139" i="8"/>
  <c r="AK391" i="8"/>
  <c r="AW398" i="5"/>
  <c r="Y361" i="8"/>
  <c r="AV363" i="5"/>
  <c r="Z353" i="8"/>
  <c r="AW354" i="5"/>
  <c r="AD289" i="8"/>
  <c r="AP289" i="8" s="1"/>
  <c r="F289" i="8" s="1"/>
  <c r="AP282" i="5"/>
  <c r="AC273" i="8"/>
  <c r="AZ264" i="5"/>
  <c r="AO24" i="8"/>
  <c r="BA228" i="5"/>
  <c r="R23" i="8"/>
  <c r="AP23" i="8" s="1"/>
  <c r="AN215" i="5"/>
  <c r="AT375" i="5"/>
  <c r="L229" i="8"/>
  <c r="AY187" i="8"/>
  <c r="O187" i="8" s="1"/>
  <c r="AW164" i="8"/>
  <c r="M164" i="8" s="1"/>
  <c r="AN253" i="5"/>
  <c r="AU218" i="8"/>
  <c r="K218" i="8" s="1"/>
  <c r="M287" i="8"/>
  <c r="AV22" i="5"/>
  <c r="AN166" i="5"/>
  <c r="AV237" i="5"/>
  <c r="I351" i="8"/>
  <c r="P220" i="8"/>
  <c r="AW124" i="8"/>
  <c r="M124" i="8" s="1"/>
  <c r="AZ151" i="5"/>
  <c r="AY133" i="8"/>
  <c r="O133" i="8" s="1"/>
  <c r="BA131" i="8"/>
  <c r="AV71" i="5"/>
  <c r="AT324" i="5"/>
  <c r="L156" i="8"/>
  <c r="N260" i="8"/>
  <c r="AV32" i="5"/>
  <c r="AP164" i="5"/>
  <c r="AN276" i="5"/>
  <c r="N309" i="8"/>
  <c r="BA150" i="8"/>
  <c r="Q150" i="8" s="1"/>
  <c r="I159" i="8"/>
  <c r="AN159" i="5"/>
  <c r="AU367" i="5"/>
  <c r="AX234" i="5"/>
  <c r="AA246" i="8"/>
  <c r="AP233" i="5"/>
  <c r="AD245" i="8"/>
  <c r="AP245" i="8" s="1"/>
  <c r="X267" i="8"/>
  <c r="AV267" i="8" s="1"/>
  <c r="AU258" i="5"/>
  <c r="R267" i="8"/>
  <c r="AN258" i="5"/>
  <c r="X123" i="8"/>
  <c r="AV123" i="8" s="1"/>
  <c r="AU94" i="5"/>
  <c r="R302" i="8"/>
  <c r="AN295" i="5"/>
  <c r="X31" i="8"/>
  <c r="AV31" i="8" s="1"/>
  <c r="AU331" i="5"/>
  <c r="AF256" i="8"/>
  <c r="AR256" i="8" s="1"/>
  <c r="H256" i="8" s="1"/>
  <c r="AR245" i="5"/>
  <c r="S174" i="8"/>
  <c r="AQ174" i="8" s="1"/>
  <c r="AP150" i="5"/>
  <c r="AC19" i="8"/>
  <c r="AZ203" i="5"/>
  <c r="Y24" i="8"/>
  <c r="AV228" i="5"/>
  <c r="AN227" i="5"/>
  <c r="R240" i="8"/>
  <c r="W144" i="8"/>
  <c r="AT116" i="5"/>
  <c r="AG318" i="8"/>
  <c r="AS316" i="5"/>
  <c r="BA61" i="5"/>
  <c r="AO90" i="8"/>
  <c r="Y271" i="8"/>
  <c r="AV262" i="5"/>
  <c r="X133" i="5"/>
  <c r="P2" i="12"/>
  <c r="Y201" i="8"/>
  <c r="AV179" i="5"/>
  <c r="AN229" i="5"/>
  <c r="R241" i="8"/>
  <c r="AP241" i="8" s="1"/>
  <c r="W133" i="5"/>
  <c r="AJ158" i="8" s="1"/>
  <c r="AV158" i="8" s="1"/>
  <c r="L158" i="8" s="1"/>
  <c r="O2" i="12"/>
  <c r="AX371" i="5"/>
  <c r="AA368" i="8"/>
  <c r="AC42" i="2"/>
  <c r="S23" i="8"/>
  <c r="AP215" i="5"/>
  <c r="AD361" i="8"/>
  <c r="AP361" i="8" s="1"/>
  <c r="F361" i="8" s="1"/>
  <c r="AP363" i="5"/>
  <c r="AS228" i="5"/>
  <c r="AG24" i="8"/>
  <c r="AS24" i="8" s="1"/>
  <c r="I24" i="8" s="1"/>
  <c r="AD334" i="8"/>
  <c r="AP334" i="8" s="1"/>
  <c r="F334" i="8" s="1"/>
  <c r="AP334" i="5"/>
  <c r="AO234" i="8"/>
  <c r="BA221" i="5"/>
  <c r="AC201" i="8"/>
  <c r="AZ179" i="5"/>
  <c r="AX96" i="5"/>
  <c r="AA125" i="8"/>
  <c r="AV76" i="5"/>
  <c r="Y105" i="8"/>
  <c r="AV29" i="5"/>
  <c r="Y61" i="8"/>
  <c r="AN316" i="5"/>
  <c r="AY316" i="5"/>
  <c r="AM318" i="8"/>
  <c r="AY318" i="8" s="1"/>
  <c r="O318" i="8" s="1"/>
  <c r="Y373" i="8"/>
  <c r="AV377" i="5"/>
  <c r="AT11" i="5"/>
  <c r="W47" i="8"/>
  <c r="AC106" i="8"/>
  <c r="AZ77" i="5"/>
  <c r="AO248" i="8"/>
  <c r="BA236" i="5"/>
  <c r="Z195" i="8"/>
  <c r="AW173" i="5"/>
  <c r="Z213" i="8"/>
  <c r="AW194" i="5"/>
  <c r="AC82" i="8"/>
  <c r="AZ53" i="5"/>
  <c r="Z133" i="5"/>
  <c r="Q2" i="12"/>
  <c r="Q222" i="8"/>
  <c r="AP162" i="5"/>
  <c r="AD185" i="8"/>
  <c r="AC28" i="2"/>
  <c r="AP16" i="5"/>
  <c r="AD51" i="8"/>
  <c r="AC67" i="8"/>
  <c r="AZ36" i="5"/>
  <c r="BA218" i="5"/>
  <c r="AO231" i="8"/>
  <c r="Z23" i="8"/>
  <c r="AX23" i="8" s="1"/>
  <c r="AW215" i="5"/>
  <c r="AN79" i="5"/>
  <c r="AD108" i="8"/>
  <c r="AP108" i="8" s="1"/>
  <c r="F108" i="8" s="1"/>
  <c r="U339" i="8"/>
  <c r="AR339" i="5"/>
  <c r="AX228" i="5"/>
  <c r="AA24" i="8"/>
  <c r="BA172" i="5"/>
  <c r="AO14" i="8"/>
  <c r="W115" i="8"/>
  <c r="AT86" i="5"/>
  <c r="BA48" i="5"/>
  <c r="AO6" i="8"/>
  <c r="BA6" i="8" s="1"/>
  <c r="Q6" i="8" s="1"/>
  <c r="AA39" i="8"/>
  <c r="AX2" i="5"/>
  <c r="AG67" i="2"/>
  <c r="AI67" i="2"/>
  <c r="AF374" i="8"/>
  <c r="AR374" i="8" s="1"/>
  <c r="H374" i="8" s="1"/>
  <c r="AT127" i="5"/>
  <c r="R27" i="8"/>
  <c r="AN265" i="5"/>
  <c r="AX309" i="5"/>
  <c r="AL311" i="8"/>
  <c r="AO103" i="8"/>
  <c r="BA74" i="5"/>
  <c r="W178" i="8"/>
  <c r="AT154" i="5"/>
  <c r="W193" i="8"/>
  <c r="AT170" i="5"/>
  <c r="R110" i="8"/>
  <c r="AN81" i="5"/>
  <c r="R279" i="8"/>
  <c r="AP279" i="8" s="1"/>
  <c r="AN271" i="5"/>
  <c r="AC305" i="8"/>
  <c r="AZ303" i="5"/>
  <c r="AN379" i="5"/>
  <c r="AB375" i="8"/>
  <c r="AZ375" i="8" s="1"/>
  <c r="AY379" i="5"/>
  <c r="AO207" i="8"/>
  <c r="BA187" i="5"/>
  <c r="Y308" i="8"/>
  <c r="AV306" i="5"/>
  <c r="AD362" i="8"/>
  <c r="AP362" i="8" s="1"/>
  <c r="F362" i="8" s="1"/>
  <c r="AP364" i="5"/>
  <c r="R265" i="8"/>
  <c r="AN256" i="5"/>
  <c r="Y281" i="8"/>
  <c r="AV273" i="5"/>
  <c r="AO202" i="8"/>
  <c r="BA181" i="5"/>
  <c r="R174" i="8"/>
  <c r="AN150" i="5"/>
  <c r="AF100" i="8"/>
  <c r="AR100" i="8" s="1"/>
  <c r="H100" i="8" s="1"/>
  <c r="AR71" i="5"/>
  <c r="W54" i="8"/>
  <c r="AT21" i="5"/>
  <c r="AD41" i="8"/>
  <c r="AP4" i="5"/>
  <c r="AC117" i="8"/>
  <c r="AZ88" i="5"/>
  <c r="Y242" i="8"/>
  <c r="AV230" i="5"/>
  <c r="AN269" i="5"/>
  <c r="AB277" i="8"/>
  <c r="AZ277" i="8" s="1"/>
  <c r="AY269" i="5"/>
  <c r="AC166" i="8"/>
  <c r="AZ141" i="5"/>
  <c r="AW76" i="5"/>
  <c r="Z105" i="8"/>
  <c r="AC387" i="8"/>
  <c r="AZ394" i="5"/>
  <c r="Y40" i="8"/>
  <c r="AV3" i="5"/>
  <c r="R249" i="8"/>
  <c r="AN237" i="5"/>
  <c r="R123" i="8"/>
  <c r="AN94" i="5"/>
  <c r="Y387" i="8"/>
  <c r="AV394" i="5"/>
  <c r="AO59" i="8"/>
  <c r="BA26" i="5"/>
  <c r="W232" i="8"/>
  <c r="AT219" i="5"/>
  <c r="AC21" i="8"/>
  <c r="AZ205" i="5"/>
  <c r="U371" i="8"/>
  <c r="AS371" i="8" s="1"/>
  <c r="AR375" i="5"/>
  <c r="V367" i="8"/>
  <c r="AT367" i="8" s="1"/>
  <c r="AS369" i="5"/>
  <c r="Y396" i="8"/>
  <c r="AV404" i="5"/>
  <c r="F211" i="8"/>
  <c r="AP339" i="5"/>
  <c r="AD339" i="8"/>
  <c r="AP339" i="8" s="1"/>
  <c r="F339" i="8" s="1"/>
  <c r="Y395" i="8"/>
  <c r="AV403" i="5"/>
  <c r="R22" i="8"/>
  <c r="AP22" i="8" s="1"/>
  <c r="AN214" i="5"/>
  <c r="AL197" i="8"/>
  <c r="AX197" i="8" s="1"/>
  <c r="N197" i="8" s="1"/>
  <c r="AX175" i="5"/>
  <c r="S202" i="8"/>
  <c r="AQ202" i="8" s="1"/>
  <c r="AP181" i="5"/>
  <c r="Y91" i="8"/>
  <c r="AV62" i="5"/>
  <c r="AA60" i="8"/>
  <c r="AX27" i="5"/>
  <c r="AN119" i="5"/>
  <c r="R147" i="8"/>
  <c r="AP147" i="8" s="1"/>
  <c r="S22" i="8"/>
  <c r="AP214" i="5"/>
  <c r="AO146" i="8"/>
  <c r="BA118" i="5"/>
  <c r="AO181" i="8"/>
  <c r="BA157" i="5"/>
  <c r="W286" i="8"/>
  <c r="AT278" i="5"/>
  <c r="W254" i="8"/>
  <c r="AT243" i="5"/>
  <c r="Y248" i="8"/>
  <c r="AV236" i="5"/>
  <c r="AF8" i="8"/>
  <c r="AR8" i="8" s="1"/>
  <c r="H8" i="8" s="1"/>
  <c r="AR113" i="5"/>
  <c r="BA280" i="5"/>
  <c r="AO287" i="8"/>
  <c r="AN346" i="5"/>
  <c r="AY346" i="5"/>
  <c r="AM346" i="8"/>
  <c r="AY346" i="8" s="1"/>
  <c r="O346" i="8" s="1"/>
  <c r="S233" i="8"/>
  <c r="AP220" i="5"/>
  <c r="AT405" i="5"/>
  <c r="AH397" i="8"/>
  <c r="AT397" i="8" s="1"/>
  <c r="J397" i="8" s="1"/>
  <c r="AN405" i="5"/>
  <c r="U363" i="8"/>
  <c r="AR365" i="5"/>
  <c r="X74" i="8"/>
  <c r="AU43" i="5"/>
  <c r="J2" i="12"/>
  <c r="X272" i="8"/>
  <c r="AU263" i="5"/>
  <c r="W109" i="8"/>
  <c r="AT80" i="5"/>
  <c r="BA353" i="5"/>
  <c r="AO352" i="8"/>
  <c r="BA352" i="8" s="1"/>
  <c r="Z351" i="8"/>
  <c r="AX351" i="8" s="1"/>
  <c r="AW352" i="5"/>
  <c r="AA261" i="8"/>
  <c r="AX251" i="5"/>
  <c r="Z192" i="8"/>
  <c r="AX192" i="8" s="1"/>
  <c r="AW169" i="5"/>
  <c r="AX138" i="5"/>
  <c r="AA163" i="8"/>
  <c r="AP95" i="5"/>
  <c r="AD124" i="8"/>
  <c r="AW47" i="5"/>
  <c r="Z78" i="8"/>
  <c r="AO191" i="8"/>
  <c r="BA168" i="5"/>
  <c r="AX152" i="5"/>
  <c r="AA176" i="8"/>
  <c r="AC344" i="8"/>
  <c r="AZ344" i="5"/>
  <c r="N131" i="8"/>
  <c r="Z140" i="8"/>
  <c r="AW111" i="5"/>
  <c r="AR74" i="5"/>
  <c r="AF103" i="8"/>
  <c r="AR103" i="8" s="1"/>
  <c r="H103" i="8" s="1"/>
  <c r="AC255" i="8"/>
  <c r="AZ244" i="5"/>
  <c r="AC99" i="8"/>
  <c r="AZ70" i="5"/>
  <c r="AC53" i="8"/>
  <c r="AZ18" i="5"/>
  <c r="AF58" i="8"/>
  <c r="AR58" i="8" s="1"/>
  <c r="H58" i="8" s="1"/>
  <c r="AR25" i="5"/>
  <c r="AD62" i="8"/>
  <c r="AP62" i="8" s="1"/>
  <c r="F62" i="8" s="1"/>
  <c r="AP30" i="5"/>
  <c r="U216" i="8"/>
  <c r="AR197" i="5"/>
  <c r="AF30" i="2"/>
  <c r="AY312" i="5"/>
  <c r="AM314" i="8"/>
  <c r="AY314" i="8" s="1"/>
  <c r="O314" i="8" s="1"/>
  <c r="AN312" i="5"/>
  <c r="BA204" i="5"/>
  <c r="AO20" i="8"/>
  <c r="AX382" i="5"/>
  <c r="AA378" i="8"/>
  <c r="AA360" i="8"/>
  <c r="AY360" i="8" s="1"/>
  <c r="AX361" i="5"/>
  <c r="AY273" i="8"/>
  <c r="O273" i="8" s="1"/>
  <c r="Z218" i="8"/>
  <c r="AW199" i="5"/>
  <c r="BA166" i="5"/>
  <c r="AO189" i="8"/>
  <c r="AA173" i="8"/>
  <c r="AX149" i="5"/>
  <c r="AR64" i="5"/>
  <c r="AF93" i="8"/>
  <c r="AR93" i="8" s="1"/>
  <c r="H93" i="8" s="1"/>
  <c r="M89" i="8"/>
  <c r="W350" i="8"/>
  <c r="AU350" i="8" s="1"/>
  <c r="AT350" i="5"/>
  <c r="K221" i="8"/>
  <c r="S273" i="8"/>
  <c r="AP264" i="5"/>
  <c r="AO270" i="8"/>
  <c r="BA270" i="8" s="1"/>
  <c r="Q270" i="8" s="1"/>
  <c r="BA261" i="5"/>
  <c r="AD21" i="2"/>
  <c r="AQ90" i="5"/>
  <c r="T119" i="8"/>
  <c r="AR119" i="8" s="1"/>
  <c r="Y284" i="8"/>
  <c r="AV276" i="5"/>
  <c r="AP126" i="5"/>
  <c r="AD151" i="8"/>
  <c r="AV129" i="5"/>
  <c r="Y154" i="8"/>
  <c r="AG346" i="8"/>
  <c r="AS346" i="8" s="1"/>
  <c r="AS346" i="5"/>
  <c r="W291" i="8"/>
  <c r="AT284" i="5"/>
  <c r="W19" i="8"/>
  <c r="AL32" i="2"/>
  <c r="AT203" i="5"/>
  <c r="U130" i="8"/>
  <c r="AR101" i="5"/>
  <c r="V354" i="8"/>
  <c r="AS355" i="5"/>
  <c r="V358" i="8"/>
  <c r="AS359" i="5"/>
  <c r="W324" i="8"/>
  <c r="AT322" i="5"/>
  <c r="AD352" i="8"/>
  <c r="AP352" i="8" s="1"/>
  <c r="F352" i="8" s="1"/>
  <c r="AP353" i="5"/>
  <c r="BA185" i="5"/>
  <c r="AO205" i="8"/>
  <c r="AP12" i="5"/>
  <c r="S3" i="8"/>
  <c r="U368" i="8"/>
  <c r="AR371" i="5"/>
  <c r="Y312" i="8"/>
  <c r="AV310" i="5"/>
  <c r="AN40" i="5"/>
  <c r="R71" i="8"/>
  <c r="AP171" i="5"/>
  <c r="AD194" i="8"/>
  <c r="AP194" i="8" s="1"/>
  <c r="F194" i="8" s="1"/>
  <c r="X299" i="8"/>
  <c r="AU292" i="5"/>
  <c r="X378" i="8"/>
  <c r="AV378" i="8" s="1"/>
  <c r="AU382" i="5"/>
  <c r="Y225" i="8"/>
  <c r="AV210" i="5"/>
  <c r="U285" i="8"/>
  <c r="AR277" i="5"/>
  <c r="AX170" i="5"/>
  <c r="AA193" i="8"/>
  <c r="Z202" i="8"/>
  <c r="AW181" i="5"/>
  <c r="AX114" i="5"/>
  <c r="AA142" i="8"/>
  <c r="BA71" i="5"/>
  <c r="AO100" i="8"/>
  <c r="AN36" i="5"/>
  <c r="AY36" i="5"/>
  <c r="AB67" i="8"/>
  <c r="AX129" i="5"/>
  <c r="AA154" i="8"/>
  <c r="AC320" i="8"/>
  <c r="AZ318" i="5"/>
  <c r="AC189" i="8"/>
  <c r="AZ166" i="5"/>
  <c r="AZ87" i="5"/>
  <c r="Z357" i="8"/>
  <c r="AX357" i="8" s="1"/>
  <c r="AW358" i="5"/>
  <c r="AP329" i="5"/>
  <c r="AD330" i="8"/>
  <c r="AP330" i="8" s="1"/>
  <c r="F330" i="8" s="1"/>
  <c r="X180" i="8"/>
  <c r="AU156" i="5"/>
  <c r="Z40" i="8"/>
  <c r="AW3" i="5"/>
  <c r="AR76" i="5"/>
  <c r="AF105" i="8"/>
  <c r="AR105" i="8" s="1"/>
  <c r="H105" i="8" s="1"/>
  <c r="AC208" i="8"/>
  <c r="AZ188" i="5"/>
  <c r="O205" i="5"/>
  <c r="AG21" i="8"/>
  <c r="Y208" i="8"/>
  <c r="AV188" i="5"/>
  <c r="AC369" i="8"/>
  <c r="AZ372" i="5"/>
  <c r="U280" i="8"/>
  <c r="AR272" i="5"/>
  <c r="S166" i="8"/>
  <c r="AP141" i="5"/>
  <c r="Y215" i="8"/>
  <c r="AV196" i="5"/>
  <c r="W364" i="8"/>
  <c r="AL50" i="2"/>
  <c r="AT366" i="5"/>
  <c r="AX270" i="5"/>
  <c r="AA278" i="8"/>
  <c r="AX176" i="5"/>
  <c r="AL198" i="8"/>
  <c r="AX198" i="8" s="1"/>
  <c r="N198" i="8" s="1"/>
  <c r="AO188" i="8"/>
  <c r="BA188" i="8" s="1"/>
  <c r="Q188" i="8" s="1"/>
  <c r="BA165" i="5"/>
  <c r="AA137" i="8"/>
  <c r="AX108" i="5"/>
  <c r="AU192" i="8"/>
  <c r="K192" i="8" s="1"/>
  <c r="AN358" i="5"/>
  <c r="AB357" i="8"/>
  <c r="AZ357" i="8" s="1"/>
  <c r="AY358" i="5"/>
  <c r="AK90" i="8"/>
  <c r="AW61" i="5"/>
  <c r="W332" i="8"/>
  <c r="AU332" i="8" s="1"/>
  <c r="AT332" i="5"/>
  <c r="AC375" i="8"/>
  <c r="AZ379" i="5"/>
  <c r="AO111" i="8"/>
  <c r="BA82" i="5"/>
  <c r="W204" i="8"/>
  <c r="AT184" i="5"/>
  <c r="W217" i="8"/>
  <c r="AU217" i="8" s="1"/>
  <c r="AT198" i="5"/>
  <c r="AE229" i="8"/>
  <c r="AQ216" i="5"/>
  <c r="AD214" i="8"/>
  <c r="AP195" i="5"/>
  <c r="X221" i="8"/>
  <c r="AU206" i="5"/>
  <c r="X163" i="8"/>
  <c r="AV163" i="8" s="1"/>
  <c r="AU138" i="5"/>
  <c r="Z22" i="8"/>
  <c r="AX22" i="8" s="1"/>
  <c r="AW214" i="5"/>
  <c r="AF296" i="8"/>
  <c r="AR296" i="8" s="1"/>
  <c r="H296" i="8" s="1"/>
  <c r="AR289" i="5"/>
  <c r="AR103" i="5"/>
  <c r="AF132" i="8"/>
  <c r="AR132" i="8" s="1"/>
  <c r="H132" i="8" s="1"/>
  <c r="Z27" i="8"/>
  <c r="AW265" i="5"/>
  <c r="AP382" i="5"/>
  <c r="AD378" i="8"/>
  <c r="AP378" i="8" s="1"/>
  <c r="F378" i="8" s="1"/>
  <c r="AO299" i="8"/>
  <c r="BA292" i="5"/>
  <c r="AO267" i="8"/>
  <c r="BA258" i="5"/>
  <c r="AY144" i="8"/>
  <c r="O144" i="8" s="1"/>
  <c r="AY47" i="8"/>
  <c r="O47" i="8" s="1"/>
  <c r="AX250" i="5"/>
  <c r="AA260" i="8"/>
  <c r="Y152" i="8"/>
  <c r="AV127" i="5"/>
  <c r="AC394" i="8"/>
  <c r="AZ402" i="5"/>
  <c r="AC194" i="8"/>
  <c r="AZ171" i="5"/>
  <c r="V376" i="8"/>
  <c r="AT376" i="8" s="1"/>
  <c r="AS380" i="5"/>
  <c r="Z51" i="8"/>
  <c r="AW16" i="5"/>
  <c r="AC143" i="8"/>
  <c r="AZ115" i="5"/>
  <c r="AC3" i="2"/>
  <c r="AP82" i="5"/>
  <c r="AD111" i="8"/>
  <c r="AU85" i="5"/>
  <c r="X114" i="8"/>
  <c r="Y104" i="8"/>
  <c r="AV75" i="5"/>
  <c r="AC311" i="8"/>
  <c r="AZ309" i="5"/>
  <c r="R125" i="8"/>
  <c r="AN96" i="5"/>
  <c r="AD69" i="8"/>
  <c r="AP38" i="5"/>
  <c r="AG199" i="8"/>
  <c r="AS199" i="8" s="1"/>
  <c r="I199" i="8" s="1"/>
  <c r="AS177" i="5"/>
  <c r="Y113" i="8"/>
  <c r="AV84" i="5"/>
  <c r="W43" i="8"/>
  <c r="AL39" i="2"/>
  <c r="AT7" i="5"/>
  <c r="Z205" i="8"/>
  <c r="AW185" i="5"/>
  <c r="BA106" i="5"/>
  <c r="AO135" i="8"/>
  <c r="AC334" i="8"/>
  <c r="AZ334" i="5"/>
  <c r="AC239" i="8"/>
  <c r="AZ226" i="5"/>
  <c r="AA171" i="8"/>
  <c r="AX146" i="5"/>
  <c r="Z171" i="8"/>
  <c r="AX171" i="8" s="1"/>
  <c r="AW146" i="5"/>
  <c r="W157" i="8"/>
  <c r="AT132" i="5"/>
  <c r="U321" i="8"/>
  <c r="AR319" i="5"/>
  <c r="AX154" i="5"/>
  <c r="AA178" i="8"/>
  <c r="K381" i="8"/>
  <c r="AZ381" i="8"/>
  <c r="P381" i="8" s="1"/>
  <c r="AP48" i="8"/>
  <c r="F48" i="8" s="1"/>
  <c r="AO26" i="8"/>
  <c r="BA254" i="5"/>
  <c r="BA70" i="5"/>
  <c r="AO99" i="8"/>
  <c r="W149" i="8"/>
  <c r="AT121" i="5"/>
  <c r="W130" i="8"/>
  <c r="AT101" i="5"/>
  <c r="AP151" i="5"/>
  <c r="AD175" i="8"/>
  <c r="U281" i="8"/>
  <c r="AR273" i="5"/>
  <c r="Y282" i="8"/>
  <c r="AV274" i="5"/>
  <c r="AW3" i="8"/>
  <c r="AP193" i="5"/>
  <c r="AD212" i="8"/>
  <c r="AN12" i="5"/>
  <c r="Z364" i="8"/>
  <c r="AX364" i="8" s="1"/>
  <c r="AW366" i="5"/>
  <c r="AP281" i="5"/>
  <c r="AD288" i="8"/>
  <c r="AP288" i="8" s="1"/>
  <c r="F288" i="8" s="1"/>
  <c r="AC63" i="2"/>
  <c r="AC165" i="8"/>
  <c r="AZ140" i="5"/>
  <c r="AN217" i="5"/>
  <c r="R230" i="8"/>
  <c r="AP230" i="8" s="1"/>
  <c r="K371" i="8"/>
  <c r="AX164" i="5"/>
  <c r="AX101" i="5"/>
  <c r="AN97" i="5"/>
  <c r="N263" i="8"/>
  <c r="AZ261" i="5"/>
  <c r="P209" i="8"/>
  <c r="AU238" i="8"/>
  <c r="K238" i="8" s="1"/>
  <c r="F263" i="8"/>
  <c r="AW55" i="8"/>
  <c r="M55" i="8" s="1"/>
  <c r="AT254" i="5"/>
  <c r="AW249" i="8"/>
  <c r="M249" i="8" s="1"/>
  <c r="AX104" i="5"/>
  <c r="AW100" i="8"/>
  <c r="M100" i="8" s="1"/>
  <c r="K326" i="8"/>
  <c r="AY279" i="8"/>
  <c r="O279" i="8" s="1"/>
  <c r="M63" i="8"/>
  <c r="L40" i="8"/>
  <c r="AQ131" i="8"/>
  <c r="G131" i="8" s="1"/>
  <c r="F13" i="8"/>
  <c r="AY280" i="8"/>
  <c r="O280" i="8" s="1"/>
  <c r="L365" i="8"/>
  <c r="AA112" i="8"/>
  <c r="AX83" i="5"/>
  <c r="AD259" i="8"/>
  <c r="AP249" i="5"/>
  <c r="AT122" i="5"/>
  <c r="AH150" i="8"/>
  <c r="AT150" i="8" s="1"/>
  <c r="J150" i="8" s="1"/>
  <c r="AC25" i="8"/>
  <c r="AZ248" i="5"/>
  <c r="Y273" i="8"/>
  <c r="AV264" i="5"/>
  <c r="AP357" i="5"/>
  <c r="AD356" i="8"/>
  <c r="AP356" i="8" s="1"/>
  <c r="F356" i="8" s="1"/>
  <c r="X218" i="8"/>
  <c r="AV218" i="8" s="1"/>
  <c r="AU199" i="5"/>
  <c r="W118" i="8"/>
  <c r="AT89" i="5"/>
  <c r="AX128" i="5"/>
  <c r="AA153" i="8"/>
  <c r="W335" i="8"/>
  <c r="AT335" i="5"/>
  <c r="AP33" i="5"/>
  <c r="AD64" i="8"/>
  <c r="AC129" i="8"/>
  <c r="AZ100" i="5"/>
  <c r="AH173" i="8"/>
  <c r="AT173" i="8" s="1"/>
  <c r="J173" i="8" s="1"/>
  <c r="AT149" i="5"/>
  <c r="Y9" i="8"/>
  <c r="AV123" i="5"/>
  <c r="AD282" i="8"/>
  <c r="AP274" i="5"/>
  <c r="AD258" i="8"/>
  <c r="AP247" i="5"/>
  <c r="S12" i="8"/>
  <c r="AP148" i="5"/>
  <c r="AZ63" i="5"/>
  <c r="AC92" i="8"/>
  <c r="AA74" i="8"/>
  <c r="AX43" i="5"/>
  <c r="AA17" i="8"/>
  <c r="AX190" i="5"/>
  <c r="AP115" i="5"/>
  <c r="AD143" i="8"/>
  <c r="W170" i="8"/>
  <c r="AT145" i="5"/>
  <c r="AA93" i="8"/>
  <c r="AX64" i="5"/>
  <c r="W358" i="8"/>
  <c r="AU358" i="8" s="1"/>
  <c r="AT359" i="5"/>
  <c r="AW32" i="5"/>
  <c r="Z63" i="8"/>
  <c r="AC7" i="8"/>
  <c r="AZ49" i="5"/>
  <c r="AC130" i="8"/>
  <c r="AZ101" i="5"/>
  <c r="AH90" i="8"/>
  <c r="AT90" i="8" s="1"/>
  <c r="J90" i="8" s="1"/>
  <c r="AT61" i="5"/>
  <c r="AC140" i="8"/>
  <c r="AZ111" i="5"/>
  <c r="AC59" i="8"/>
  <c r="AZ26" i="5"/>
  <c r="AI133" i="5"/>
  <c r="AN158" i="8" s="1"/>
  <c r="W2" i="12"/>
  <c r="AO47" i="8"/>
  <c r="BA11" i="5"/>
  <c r="BA220" i="8"/>
  <c r="Q220" i="8" s="1"/>
  <c r="AS95" i="2"/>
  <c r="Y289" i="8"/>
  <c r="AV282" i="5"/>
  <c r="AP287" i="5"/>
  <c r="AD294" i="8"/>
  <c r="Y239" i="8"/>
  <c r="AW239" i="8" s="1"/>
  <c r="AV226" i="5"/>
  <c r="Y31" i="8"/>
  <c r="AV331" i="5"/>
  <c r="Y268" i="8"/>
  <c r="AV259" i="5"/>
  <c r="AX281" i="5"/>
  <c r="AA288" i="8"/>
  <c r="AO236" i="8"/>
  <c r="BA223" i="5"/>
  <c r="R190" i="8"/>
  <c r="AN167" i="5"/>
  <c r="AC162" i="8"/>
  <c r="AZ137" i="5"/>
  <c r="W124" i="8"/>
  <c r="AT95" i="5"/>
  <c r="AA73" i="8"/>
  <c r="AX42" i="5"/>
  <c r="AS318" i="5"/>
  <c r="AG320" i="8"/>
  <c r="AA67" i="8"/>
  <c r="AX36" i="5"/>
  <c r="X313" i="8"/>
  <c r="AV313" i="8" s="1"/>
  <c r="AU311" i="5"/>
  <c r="Z298" i="8"/>
  <c r="AX298" i="8" s="1"/>
  <c r="AW291" i="5"/>
  <c r="Y118" i="8"/>
  <c r="AV89" i="5"/>
  <c r="AA210" i="8"/>
  <c r="AX191" i="5"/>
  <c r="AO272" i="8"/>
  <c r="BA272" i="8" s="1"/>
  <c r="Q272" i="8" s="1"/>
  <c r="BA263" i="5"/>
  <c r="BA33" i="5"/>
  <c r="AO64" i="8"/>
  <c r="W82" i="8"/>
  <c r="AT53" i="5"/>
  <c r="AN136" i="5"/>
  <c r="R161" i="8"/>
  <c r="AQ219" i="5"/>
  <c r="AE232" i="8"/>
  <c r="AP86" i="5"/>
  <c r="AD115" i="8"/>
  <c r="AR86" i="2"/>
  <c r="Y196" i="8"/>
  <c r="AW196" i="8" s="1"/>
  <c r="AV174" i="5"/>
  <c r="Y4" i="8"/>
  <c r="AV28" i="5"/>
  <c r="AN75" i="5"/>
  <c r="R104" i="8"/>
  <c r="AP104" i="8" s="1"/>
  <c r="AU284" i="5"/>
  <c r="AI291" i="8"/>
  <c r="Y176" i="8"/>
  <c r="AW176" i="8" s="1"/>
  <c r="AV152" i="5"/>
  <c r="AN230" i="5"/>
  <c r="R242" i="8"/>
  <c r="AP242" i="8" s="1"/>
  <c r="AX357" i="5"/>
  <c r="AA356" i="8"/>
  <c r="AY356" i="8" s="1"/>
  <c r="S230" i="8"/>
  <c r="AP217" i="5"/>
  <c r="AP356" i="5"/>
  <c r="AD355" i="8"/>
  <c r="AP355" i="8" s="1"/>
  <c r="F355" i="8" s="1"/>
  <c r="AE234" i="8"/>
  <c r="AQ221" i="5"/>
  <c r="AF186" i="8"/>
  <c r="AR186" i="8" s="1"/>
  <c r="H186" i="8" s="1"/>
  <c r="AR163" i="5"/>
  <c r="AN318" i="5"/>
  <c r="AY318" i="5"/>
  <c r="AM320" i="8"/>
  <c r="AY320" i="8" s="1"/>
  <c r="O320" i="8" s="1"/>
  <c r="Y376" i="8"/>
  <c r="AV380" i="5"/>
  <c r="W194" i="8"/>
  <c r="AT171" i="5"/>
  <c r="AC107" i="8"/>
  <c r="AZ78" i="5"/>
  <c r="AO250" i="8"/>
  <c r="BA250" i="8" s="1"/>
  <c r="BA238" i="5"/>
  <c r="AG332" i="8"/>
  <c r="AS332" i="5"/>
  <c r="Z103" i="8"/>
  <c r="AX103" i="8" s="1"/>
  <c r="AW74" i="5"/>
  <c r="Z300" i="8"/>
  <c r="AX300" i="8" s="1"/>
  <c r="AW293" i="5"/>
  <c r="AC79" i="8"/>
  <c r="AZ50" i="5"/>
  <c r="X59" i="8"/>
  <c r="AU26" i="5"/>
  <c r="AD127" i="8"/>
  <c r="AP98" i="5"/>
  <c r="AK395" i="8"/>
  <c r="AW403" i="5"/>
  <c r="AC43" i="8"/>
  <c r="AZ7" i="5"/>
  <c r="AO171" i="8"/>
  <c r="BA146" i="5"/>
  <c r="Z179" i="8"/>
  <c r="AW155" i="5"/>
  <c r="AD106" i="8"/>
  <c r="AP106" i="8" s="1"/>
  <c r="F106" i="8" s="1"/>
  <c r="AN77" i="5"/>
  <c r="U331" i="8"/>
  <c r="AR330" i="5"/>
  <c r="AO144" i="8"/>
  <c r="BA116" i="5"/>
  <c r="Z362" i="8"/>
  <c r="AX362" i="8" s="1"/>
  <c r="AW364" i="5"/>
  <c r="AX286" i="5"/>
  <c r="AA293" i="8"/>
  <c r="AC281" i="8"/>
  <c r="AZ273" i="5"/>
  <c r="R213" i="8"/>
  <c r="AN194" i="5"/>
  <c r="W214" i="8"/>
  <c r="AT195" i="5"/>
  <c r="AA8" i="8"/>
  <c r="AX113" i="5"/>
  <c r="W64" i="8"/>
  <c r="AT33" i="5"/>
  <c r="AA255" i="8"/>
  <c r="AX244" i="5"/>
  <c r="K152" i="8"/>
  <c r="AN259" i="5"/>
  <c r="R268" i="8"/>
  <c r="AO101" i="8"/>
  <c r="BA72" i="5"/>
  <c r="W6" i="8"/>
  <c r="AT48" i="5"/>
  <c r="AN83" i="5"/>
  <c r="R112" i="8"/>
  <c r="X78" i="8"/>
  <c r="AU47" i="5"/>
  <c r="AO89" i="2"/>
  <c r="F245" i="8"/>
  <c r="AX89" i="2"/>
  <c r="AN380" i="5"/>
  <c r="AB376" i="8"/>
  <c r="AZ376" i="8" s="1"/>
  <c r="AY380" i="5"/>
  <c r="Z235" i="8"/>
  <c r="AX235" i="8" s="1"/>
  <c r="AW222" i="5"/>
  <c r="AL133" i="5"/>
  <c r="Y2" i="12"/>
  <c r="BA367" i="5"/>
  <c r="AO365" i="8"/>
  <c r="AC12" i="8"/>
  <c r="AZ148" i="5"/>
  <c r="AA87" i="8"/>
  <c r="E39" i="3"/>
  <c r="AX58" i="5"/>
  <c r="AV18" i="5"/>
  <c r="Y53" i="8"/>
  <c r="AW53" i="8" s="1"/>
  <c r="Y170" i="8"/>
  <c r="AV145" i="5"/>
  <c r="BB92" i="2"/>
  <c r="AN190" i="5"/>
  <c r="AB17" i="8"/>
  <c r="AY190" i="5"/>
  <c r="Y362" i="8"/>
  <c r="AV364" i="5"/>
  <c r="AC60" i="8"/>
  <c r="AZ27" i="5"/>
  <c r="AC398" i="8"/>
  <c r="AZ406" i="5"/>
  <c r="AC404" i="8"/>
  <c r="AZ413" i="5"/>
  <c r="Y44" i="8"/>
  <c r="AV8" i="5"/>
  <c r="R246" i="8"/>
  <c r="AP246" i="8" s="1"/>
  <c r="AN234" i="5"/>
  <c r="L98" i="8"/>
  <c r="U32" i="8"/>
  <c r="AR351" i="5"/>
  <c r="AW85" i="8"/>
  <c r="M85" i="8" s="1"/>
  <c r="Y391" i="8"/>
  <c r="AV398" i="5"/>
  <c r="AO57" i="8"/>
  <c r="BA24" i="5"/>
  <c r="W207" i="8"/>
  <c r="AT187" i="5"/>
  <c r="AN268" i="5"/>
  <c r="R276" i="8"/>
  <c r="U376" i="8"/>
  <c r="AS376" i="8" s="1"/>
  <c r="AR380" i="5"/>
  <c r="V366" i="8"/>
  <c r="AT366" i="8" s="1"/>
  <c r="AS368" i="5"/>
  <c r="Y404" i="8"/>
  <c r="AV413" i="5"/>
  <c r="AD341" i="8"/>
  <c r="AP341" i="8" s="1"/>
  <c r="F341" i="8" s="1"/>
  <c r="AP341" i="5"/>
  <c r="Y36" i="8"/>
  <c r="AV392" i="5"/>
  <c r="AC261" i="8"/>
  <c r="AZ251" i="5"/>
  <c r="S241" i="8"/>
  <c r="AP229" i="5"/>
  <c r="W182" i="8"/>
  <c r="AT158" i="5"/>
  <c r="AD177" i="8"/>
  <c r="AP153" i="5"/>
  <c r="AX81" i="5"/>
  <c r="AA110" i="8"/>
  <c r="AX15" i="5"/>
  <c r="AA50" i="8"/>
  <c r="R153" i="8"/>
  <c r="AN128" i="5"/>
  <c r="Z278" i="8"/>
  <c r="AW270" i="5"/>
  <c r="S227" i="8"/>
  <c r="AP212" i="5"/>
  <c r="K309" i="8"/>
  <c r="BA47" i="5"/>
  <c r="AO78" i="8"/>
  <c r="BA143" i="5"/>
  <c r="AO168" i="8"/>
  <c r="W253" i="8"/>
  <c r="AT242" i="5"/>
  <c r="W185" i="8"/>
  <c r="AT162" i="5"/>
  <c r="W283" i="8"/>
  <c r="AU283" i="8" s="1"/>
  <c r="AT275" i="5"/>
  <c r="AV203" i="5"/>
  <c r="Y19" i="8"/>
  <c r="AR150" i="5"/>
  <c r="AF174" i="8"/>
  <c r="AR174" i="8" s="1"/>
  <c r="H174" i="8" s="1"/>
  <c r="AO243" i="8"/>
  <c r="BA231" i="5"/>
  <c r="AY334" i="5"/>
  <c r="AM334" i="8"/>
  <c r="AY334" i="8" s="1"/>
  <c r="O334" i="8" s="1"/>
  <c r="AN334" i="5"/>
  <c r="S232" i="8"/>
  <c r="AP219" i="5"/>
  <c r="AT403" i="5"/>
  <c r="AN403" i="5"/>
  <c r="AH395" i="8"/>
  <c r="AT395" i="8" s="1"/>
  <c r="J395" i="8" s="1"/>
  <c r="U365" i="8"/>
  <c r="AR367" i="5"/>
  <c r="X48" i="8"/>
  <c r="AV48" i="8" s="1"/>
  <c r="AU13" i="5"/>
  <c r="AK21" i="2"/>
  <c r="AS90" i="5"/>
  <c r="V119" i="8"/>
  <c r="AT119" i="8" s="1"/>
  <c r="Y20" i="8"/>
  <c r="AV204" i="5"/>
  <c r="W42" i="8"/>
  <c r="AL40" i="2"/>
  <c r="AT6" i="5"/>
  <c r="BA368" i="5"/>
  <c r="AO366" i="8"/>
  <c r="AE285" i="8"/>
  <c r="AQ277" i="5"/>
  <c r="Y18" i="8"/>
  <c r="AV200" i="5"/>
  <c r="AX150" i="5"/>
  <c r="AA174" i="8"/>
  <c r="AX45" i="5"/>
  <c r="AA76" i="8"/>
  <c r="AL19" i="2"/>
  <c r="W45" i="8"/>
  <c r="AT9" i="5"/>
  <c r="AO156" i="8"/>
  <c r="BA131" i="5"/>
  <c r="AX141" i="5"/>
  <c r="AA166" i="8"/>
  <c r="AC323" i="8"/>
  <c r="AZ321" i="5"/>
  <c r="W300" i="8"/>
  <c r="AT293" i="5"/>
  <c r="BE86" i="2"/>
  <c r="Z246" i="8"/>
  <c r="AW234" i="5"/>
  <c r="Z58" i="8"/>
  <c r="AX58" i="8" s="1"/>
  <c r="AW25" i="5"/>
  <c r="AF101" i="8"/>
  <c r="AR101" i="8" s="1"/>
  <c r="H101" i="8" s="1"/>
  <c r="AG18" i="2"/>
  <c r="AF18" i="2"/>
  <c r="AI18" i="2"/>
  <c r="AR72" i="5"/>
  <c r="AC26" i="8"/>
  <c r="AZ254" i="5"/>
  <c r="AC100" i="8"/>
  <c r="AZ71" i="5"/>
  <c r="AZ16" i="5"/>
  <c r="AC51" i="8"/>
  <c r="AF55" i="8"/>
  <c r="AR55" i="8" s="1"/>
  <c r="H55" i="8" s="1"/>
  <c r="AR22" i="5"/>
  <c r="U169" i="8"/>
  <c r="AR144" i="5"/>
  <c r="Y334" i="8"/>
  <c r="AV334" i="5"/>
  <c r="BA205" i="5"/>
  <c r="AO21" i="8"/>
  <c r="AX375" i="5"/>
  <c r="AA371" i="8"/>
  <c r="AX221" i="5"/>
  <c r="AA234" i="8"/>
  <c r="AD237" i="8"/>
  <c r="AP237" i="8" s="1"/>
  <c r="F237" i="8" s="1"/>
  <c r="AP224" i="5"/>
  <c r="AQ183" i="5"/>
  <c r="AE16" i="8"/>
  <c r="W7" i="8"/>
  <c r="AT49" i="5"/>
  <c r="Z99" i="8"/>
  <c r="AX99" i="8" s="1"/>
  <c r="AW70" i="5"/>
  <c r="W267" i="8"/>
  <c r="AT258" i="5"/>
  <c r="W344" i="8"/>
  <c r="AU344" i="8" s="1"/>
  <c r="AT344" i="5"/>
  <c r="R10" i="8"/>
  <c r="AN124" i="5"/>
  <c r="S165" i="8"/>
  <c r="AP140" i="5"/>
  <c r="BA174" i="5"/>
  <c r="AO196" i="8"/>
  <c r="W245" i="8"/>
  <c r="AT233" i="5"/>
  <c r="AV275" i="5"/>
  <c r="AJ283" i="8"/>
  <c r="AV283" i="8" s="1"/>
  <c r="L283" i="8" s="1"/>
  <c r="Y256" i="8"/>
  <c r="AV245" i="5"/>
  <c r="U264" i="8"/>
  <c r="AR255" i="5"/>
  <c r="AP112" i="5"/>
  <c r="AD141" i="8"/>
  <c r="AP141" i="8" s="1"/>
  <c r="AV17" i="5"/>
  <c r="Y52" i="8"/>
  <c r="AW52" i="8" s="1"/>
  <c r="AS345" i="5"/>
  <c r="AG345" i="8"/>
  <c r="W292" i="8"/>
  <c r="AT285" i="5"/>
  <c r="W186" i="8"/>
  <c r="AT163" i="5"/>
  <c r="V361" i="8"/>
  <c r="AS363" i="5"/>
  <c r="V355" i="8"/>
  <c r="AS356" i="5"/>
  <c r="W32" i="8"/>
  <c r="AT351" i="5"/>
  <c r="AE155" i="8"/>
  <c r="AQ155" i="8" s="1"/>
  <c r="AQ130" i="5"/>
  <c r="Y37" i="8"/>
  <c r="AV401" i="5"/>
  <c r="AO106" i="8"/>
  <c r="BA77" i="5"/>
  <c r="AP5" i="5"/>
  <c r="S2" i="8"/>
  <c r="U360" i="8"/>
  <c r="AS360" i="8" s="1"/>
  <c r="AR361" i="5"/>
  <c r="AN38" i="5"/>
  <c r="R69" i="8"/>
  <c r="X298" i="8"/>
  <c r="AV298" i="8" s="1"/>
  <c r="AU291" i="5"/>
  <c r="X372" i="8"/>
  <c r="AV372" i="8" s="1"/>
  <c r="AU376" i="5"/>
  <c r="Y182" i="8"/>
  <c r="AV158" i="5"/>
  <c r="AA71" i="8"/>
  <c r="AX40" i="5"/>
  <c r="AL70" i="2"/>
  <c r="W17" i="8"/>
  <c r="AT190" i="5"/>
  <c r="AX76" i="5"/>
  <c r="AA105" i="8"/>
  <c r="AC319" i="8"/>
  <c r="AZ317" i="5"/>
  <c r="AC290" i="8"/>
  <c r="AZ283" i="5"/>
  <c r="AP206" i="8"/>
  <c r="F206" i="8" s="1"/>
  <c r="AC46" i="2"/>
  <c r="AP305" i="5"/>
  <c r="AD307" i="8"/>
  <c r="AP307" i="8" s="1"/>
  <c r="F307" i="8" s="1"/>
  <c r="U48" i="8"/>
  <c r="AR13" i="5"/>
  <c r="X109" i="8"/>
  <c r="AV109" i="8" s="1"/>
  <c r="AU80" i="5"/>
  <c r="Z43" i="8"/>
  <c r="AW7" i="5"/>
  <c r="AC173" i="8"/>
  <c r="AZ149" i="5"/>
  <c r="AT396" i="5"/>
  <c r="AH389" i="8"/>
  <c r="AT389" i="8" s="1"/>
  <c r="J389" i="8" s="1"/>
  <c r="AN396" i="5"/>
  <c r="Y198" i="8"/>
  <c r="AV176" i="5"/>
  <c r="AW400" i="5"/>
  <c r="AK393" i="8"/>
  <c r="AC357" i="8"/>
  <c r="AZ358" i="5"/>
  <c r="U202" i="8"/>
  <c r="AR181" i="5"/>
  <c r="S60" i="8"/>
  <c r="AP27" i="5"/>
  <c r="AC367" i="8"/>
  <c r="AZ369" i="5"/>
  <c r="X236" i="8"/>
  <c r="AU223" i="5"/>
  <c r="AC13" i="8"/>
  <c r="AZ159" i="5"/>
  <c r="AX84" i="5"/>
  <c r="AA113" i="8"/>
  <c r="AA58" i="8"/>
  <c r="AX25" i="5"/>
  <c r="AN371" i="5"/>
  <c r="AB368" i="8"/>
  <c r="AZ368" i="8" s="1"/>
  <c r="AY371" i="5"/>
  <c r="W349" i="8"/>
  <c r="AT349" i="5"/>
  <c r="AC373" i="8"/>
  <c r="AZ377" i="5"/>
  <c r="AO83" i="8"/>
  <c r="BA54" i="5"/>
  <c r="AT74" i="5"/>
  <c r="W103" i="8"/>
  <c r="AU103" i="8" s="1"/>
  <c r="W169" i="8"/>
  <c r="AU169" i="8" s="1"/>
  <c r="AT144" i="5"/>
  <c r="AE23" i="8"/>
  <c r="AD42" i="2"/>
  <c r="AQ215" i="5"/>
  <c r="AD209" i="8"/>
  <c r="AP209" i="8" s="1"/>
  <c r="F209" i="8" s="1"/>
  <c r="AP189" i="5"/>
  <c r="AW211" i="5"/>
  <c r="Z226" i="8"/>
  <c r="AX226" i="8" s="1"/>
  <c r="AR286" i="5"/>
  <c r="AF293" i="8"/>
  <c r="AR293" i="8" s="1"/>
  <c r="H293" i="8" s="1"/>
  <c r="AG335" i="8"/>
  <c r="AS335" i="5"/>
  <c r="AG44" i="2"/>
  <c r="AI44" i="2"/>
  <c r="AF44" i="2"/>
  <c r="AR28" i="5"/>
  <c r="AF4" i="8"/>
  <c r="AR4" i="8" s="1"/>
  <c r="H4" i="8" s="1"/>
  <c r="Z145" i="8"/>
  <c r="AW117" i="5"/>
  <c r="AP379" i="5"/>
  <c r="AD375" i="8"/>
  <c r="AP375" i="8" s="1"/>
  <c r="F375" i="8" s="1"/>
  <c r="AO297" i="8"/>
  <c r="BA290" i="5"/>
  <c r="W345" i="8"/>
  <c r="AU345" i="8" s="1"/>
  <c r="AT345" i="5"/>
  <c r="AC244" i="8"/>
  <c r="AZ232" i="5"/>
  <c r="AX116" i="5"/>
  <c r="AO105" i="8"/>
  <c r="BA76" i="5"/>
  <c r="AF19" i="2"/>
  <c r="AG19" i="2"/>
  <c r="AI19" i="2"/>
  <c r="AR9" i="5"/>
  <c r="AF45" i="8"/>
  <c r="AR45" i="8" s="1"/>
  <c r="H45" i="8" s="1"/>
  <c r="AA218" i="8"/>
  <c r="AX199" i="5"/>
  <c r="AY184" i="8"/>
  <c r="O184" i="8" s="1"/>
  <c r="Y117" i="8"/>
  <c r="AV88" i="5"/>
  <c r="AC386" i="8"/>
  <c r="AZ393" i="5"/>
  <c r="Y339" i="8"/>
  <c r="AV339" i="5"/>
  <c r="V377" i="8"/>
  <c r="AT377" i="8" s="1"/>
  <c r="AS381" i="5"/>
  <c r="AH386" i="8"/>
  <c r="AT386" i="8" s="1"/>
  <c r="J386" i="8" s="1"/>
  <c r="AT393" i="5"/>
  <c r="AN393" i="5"/>
  <c r="AW17" i="5"/>
  <c r="Z52" i="8"/>
  <c r="Q126" i="8"/>
  <c r="AC113" i="8"/>
  <c r="AZ84" i="5"/>
  <c r="AD83" i="8"/>
  <c r="AP54" i="5"/>
  <c r="X110" i="8"/>
  <c r="AV110" i="8" s="1"/>
  <c r="AU81" i="5"/>
  <c r="Y45" i="8"/>
  <c r="AV9" i="5"/>
  <c r="AC314" i="8"/>
  <c r="AZ312" i="5"/>
  <c r="AN68" i="5"/>
  <c r="R97" i="8"/>
  <c r="M222" i="8"/>
  <c r="AP42" i="5"/>
  <c r="AD73" i="8"/>
  <c r="Y110" i="8"/>
  <c r="AV81" i="5"/>
  <c r="W44" i="8"/>
  <c r="AT8" i="5"/>
  <c r="AW180" i="5"/>
  <c r="Z15" i="8"/>
  <c r="AX15" i="8" s="1"/>
  <c r="AO136" i="8"/>
  <c r="BA107" i="5"/>
  <c r="AC329" i="8"/>
  <c r="AZ328" i="5"/>
  <c r="AC24" i="8"/>
  <c r="AZ228" i="5"/>
  <c r="AR232" i="5"/>
  <c r="AF244" i="8"/>
  <c r="AR244" i="8" s="1"/>
  <c r="H244" i="8" s="1"/>
  <c r="R16" i="8"/>
  <c r="AP16" i="8" s="1"/>
  <c r="AN183" i="5"/>
  <c r="O180" i="8"/>
  <c r="AA7" i="8"/>
  <c r="AX49" i="5"/>
  <c r="AN236" i="5"/>
  <c r="AB248" i="8"/>
  <c r="AZ248" i="8" s="1"/>
  <c r="AY236" i="5"/>
  <c r="Q89" i="8"/>
  <c r="AO175" i="8"/>
  <c r="BA175" i="8" s="1"/>
  <c r="Q175" i="8" s="1"/>
  <c r="BA151" i="5"/>
  <c r="AO91" i="8"/>
  <c r="BA62" i="5"/>
  <c r="BF86" i="2"/>
  <c r="W73" i="8"/>
  <c r="AT42" i="5"/>
  <c r="AT76" i="5"/>
  <c r="W105" i="8"/>
  <c r="R217" i="8"/>
  <c r="AP217" i="8" s="1"/>
  <c r="AN198" i="5"/>
  <c r="AD94" i="8"/>
  <c r="AP65" i="5"/>
  <c r="Y296" i="8"/>
  <c r="AV289" i="5"/>
  <c r="AD181" i="8"/>
  <c r="AP157" i="5"/>
  <c r="BC95" i="2"/>
  <c r="BC96" i="2" s="1"/>
  <c r="BA86" i="2"/>
  <c r="BA96" i="2" s="1"/>
  <c r="AW353" i="5"/>
  <c r="Z352" i="8"/>
  <c r="AE170" i="8"/>
  <c r="AQ145" i="5"/>
  <c r="AC167" i="8"/>
  <c r="AZ142" i="5"/>
  <c r="R179" i="8"/>
  <c r="AP179" i="8" s="1"/>
  <c r="AN155" i="5"/>
  <c r="AY130" i="8"/>
  <c r="O130" i="8" s="1"/>
  <c r="AN189" i="5"/>
  <c r="AX3" i="5"/>
  <c r="AN178" i="5"/>
  <c r="P134" i="8"/>
  <c r="AZ347" i="5"/>
  <c r="AT338" i="5"/>
  <c r="AV261" i="5"/>
  <c r="AX271" i="5"/>
  <c r="L126" i="8"/>
  <c r="K126" i="8"/>
  <c r="L214" i="8"/>
  <c r="P206" i="8"/>
  <c r="Q258" i="8"/>
  <c r="AT296" i="5"/>
  <c r="AX272" i="5"/>
  <c r="BA354" i="5"/>
  <c r="AO353" i="8"/>
  <c r="BA353" i="8" s="1"/>
  <c r="AA6" i="8"/>
  <c r="AX48" i="5"/>
  <c r="X353" i="8"/>
  <c r="AV353" i="8" s="1"/>
  <c r="AU354" i="5"/>
  <c r="X150" i="8"/>
  <c r="AU122" i="5"/>
  <c r="AX372" i="5"/>
  <c r="AA369" i="8"/>
  <c r="AY369" i="8" s="1"/>
  <c r="AC397" i="8"/>
  <c r="AZ405" i="5"/>
  <c r="AS324" i="5"/>
  <c r="AG326" i="8"/>
  <c r="AE13" i="8"/>
  <c r="AQ159" i="5"/>
  <c r="AC364" i="8"/>
  <c r="AZ366" i="5"/>
  <c r="W357" i="8"/>
  <c r="AU357" i="8" s="1"/>
  <c r="AT358" i="5"/>
  <c r="Z65" i="8"/>
  <c r="AX65" i="8" s="1"/>
  <c r="AW34" i="5"/>
  <c r="AR109" i="5"/>
  <c r="AF138" i="8"/>
  <c r="AR138" i="8" s="1"/>
  <c r="H138" i="8" s="1"/>
  <c r="AZ47" i="5"/>
  <c r="AC78" i="8"/>
  <c r="AC297" i="8"/>
  <c r="AZ290" i="5"/>
  <c r="AC327" i="8"/>
  <c r="AZ326" i="5"/>
  <c r="R192" i="8"/>
  <c r="AN169" i="5"/>
  <c r="AN145" i="8"/>
  <c r="AZ145" i="8" s="1"/>
  <c r="P145" i="8" s="1"/>
  <c r="AZ117" i="5"/>
  <c r="W313" i="8"/>
  <c r="AT311" i="5"/>
  <c r="AA267" i="8"/>
  <c r="AX258" i="5"/>
  <c r="AG237" i="8"/>
  <c r="AS237" i="8" s="1"/>
  <c r="AS224" i="5"/>
  <c r="W128" i="8"/>
  <c r="AT99" i="5"/>
  <c r="W370" i="8"/>
  <c r="AU370" i="8" s="1"/>
  <c r="AT373" i="5"/>
  <c r="AD296" i="8"/>
  <c r="AP296" i="8" s="1"/>
  <c r="F296" i="8" s="1"/>
  <c r="AP289" i="5"/>
  <c r="X363" i="8"/>
  <c r="AU365" i="5"/>
  <c r="AV304" i="5"/>
  <c r="Y306" i="8"/>
  <c r="Y269" i="8"/>
  <c r="AV260" i="5"/>
  <c r="Y386" i="8"/>
  <c r="AV393" i="5"/>
  <c r="X334" i="8"/>
  <c r="AV334" i="8" s="1"/>
  <c r="AU334" i="5"/>
  <c r="AO274" i="8"/>
  <c r="BA266" i="5"/>
  <c r="AX142" i="5"/>
  <c r="AA167" i="8"/>
  <c r="W177" i="8"/>
  <c r="AT153" i="5"/>
  <c r="AP120" i="5"/>
  <c r="AD148" i="8"/>
  <c r="W272" i="8"/>
  <c r="AU272" i="8" s="1"/>
  <c r="AT263" i="5"/>
  <c r="AL5" i="2"/>
  <c r="AP336" i="5"/>
  <c r="AD336" i="8"/>
  <c r="AP336" i="8" s="1"/>
  <c r="F336" i="8" s="1"/>
  <c r="Z295" i="8"/>
  <c r="AW288" i="5"/>
  <c r="AX189" i="5"/>
  <c r="AA209" i="8"/>
  <c r="AL14" i="2"/>
  <c r="W79" i="8"/>
  <c r="AT50" i="5"/>
  <c r="R95" i="8"/>
  <c r="AN66" i="5"/>
  <c r="AD112" i="8"/>
  <c r="AP83" i="5"/>
  <c r="AE217" i="8"/>
  <c r="AQ198" i="5"/>
  <c r="X260" i="8"/>
  <c r="AU250" i="5"/>
  <c r="AA34" i="8"/>
  <c r="AX370" i="5"/>
  <c r="AS339" i="5"/>
  <c r="AG339" i="8"/>
  <c r="AC325" i="8"/>
  <c r="AZ323" i="5"/>
  <c r="Z164" i="8"/>
  <c r="AX164" i="8" s="1"/>
  <c r="AW139" i="5"/>
  <c r="AL73" i="2"/>
  <c r="W269" i="8"/>
  <c r="AT260" i="5"/>
  <c r="AC108" i="8"/>
  <c r="AZ79" i="5"/>
  <c r="BA235" i="5"/>
  <c r="AO247" i="8"/>
  <c r="BA247" i="8" s="1"/>
  <c r="AG349" i="8"/>
  <c r="AS349" i="5"/>
  <c r="Z18" i="8"/>
  <c r="AX18" i="8" s="1"/>
  <c r="AW200" i="5"/>
  <c r="X57" i="8"/>
  <c r="AU24" i="5"/>
  <c r="AW84" i="8"/>
  <c r="M84" i="8" s="1"/>
  <c r="S133" i="8"/>
  <c r="AP104" i="5"/>
  <c r="AW392" i="5"/>
  <c r="AK36" i="8"/>
  <c r="AC44" i="8"/>
  <c r="AZ8" i="5"/>
  <c r="AO133" i="8"/>
  <c r="BA104" i="5"/>
  <c r="AW123" i="5"/>
  <c r="Z9" i="8"/>
  <c r="AX9" i="8" s="1"/>
  <c r="U341" i="8"/>
  <c r="AR341" i="5"/>
  <c r="AO10" i="8"/>
  <c r="BA124" i="5"/>
  <c r="Y326" i="8"/>
  <c r="AV324" i="5"/>
  <c r="BA264" i="5"/>
  <c r="AO273" i="8"/>
  <c r="AY233" i="8"/>
  <c r="O233" i="8" s="1"/>
  <c r="E22" i="3"/>
  <c r="AX206" i="5"/>
  <c r="AA221" i="8"/>
  <c r="AQ164" i="5"/>
  <c r="AE187" i="8"/>
  <c r="AQ187" i="8" s="1"/>
  <c r="G187" i="8" s="1"/>
  <c r="AC164" i="8"/>
  <c r="AZ139" i="5"/>
  <c r="W123" i="8"/>
  <c r="AT94" i="5"/>
  <c r="AL22" i="2"/>
  <c r="AX48" i="8"/>
  <c r="N48" i="8" s="1"/>
  <c r="AA303" i="8"/>
  <c r="AX297" i="5"/>
  <c r="AA95" i="8"/>
  <c r="AX66" i="5"/>
  <c r="R269" i="8"/>
  <c r="AN260" i="5"/>
  <c r="AO263" i="8"/>
  <c r="BA253" i="5"/>
  <c r="W121" i="8"/>
  <c r="AT92" i="5"/>
  <c r="W41" i="8"/>
  <c r="AT4" i="5"/>
  <c r="R114" i="8"/>
  <c r="AN85" i="5"/>
  <c r="X7" i="8"/>
  <c r="AV7" i="8" s="1"/>
  <c r="AU49" i="5"/>
  <c r="AN218" i="5"/>
  <c r="R231" i="8"/>
  <c r="AN383" i="5"/>
  <c r="AB379" i="8"/>
  <c r="AY383" i="5"/>
  <c r="AN327" i="5"/>
  <c r="AY327" i="5"/>
  <c r="AM328" i="8"/>
  <c r="AY328" i="8" s="1"/>
  <c r="O328" i="8" s="1"/>
  <c r="Z223" i="8"/>
  <c r="AW208" i="5"/>
  <c r="BA103" i="5"/>
  <c r="AO132" i="8"/>
  <c r="BA132" i="8" s="1"/>
  <c r="AE225" i="8"/>
  <c r="AQ210" i="5"/>
  <c r="AD41" i="2"/>
  <c r="AC163" i="8"/>
  <c r="AZ138" i="5"/>
  <c r="BA65" i="5"/>
  <c r="AO94" i="8"/>
  <c r="AD26" i="8"/>
  <c r="AP26" i="8" s="1"/>
  <c r="AP254" i="5"/>
  <c r="AC4" i="2"/>
  <c r="AC133" i="5"/>
  <c r="AL158" i="8" s="1"/>
  <c r="AX158" i="8" s="1"/>
  <c r="N158" i="8" s="1"/>
  <c r="S2" i="12"/>
  <c r="Y336" i="8"/>
  <c r="AV336" i="5"/>
  <c r="AV141" i="5"/>
  <c r="Y166" i="8"/>
  <c r="Y352" i="8"/>
  <c r="AV353" i="5"/>
  <c r="U121" i="8"/>
  <c r="AR92" i="5"/>
  <c r="AC390" i="8"/>
  <c r="AZ397" i="5"/>
  <c r="AC396" i="8"/>
  <c r="AZ404" i="5"/>
  <c r="Y43" i="8"/>
  <c r="AV7" i="5"/>
  <c r="X279" i="8"/>
  <c r="AV279" i="8" s="1"/>
  <c r="AU271" i="5"/>
  <c r="U325" i="8"/>
  <c r="AR323" i="5"/>
  <c r="Y181" i="8"/>
  <c r="AV157" i="5"/>
  <c r="Y38" i="8"/>
  <c r="AV407" i="5"/>
  <c r="AO55" i="8"/>
  <c r="BA22" i="5"/>
  <c r="R133" i="5"/>
  <c r="L2" i="12"/>
  <c r="F233" i="8"/>
  <c r="U377" i="8"/>
  <c r="AS377" i="8" s="1"/>
  <c r="AR381" i="5"/>
  <c r="V352" i="8"/>
  <c r="AT352" i="8" s="1"/>
  <c r="AS353" i="5"/>
  <c r="Y193" i="8"/>
  <c r="AV170" i="5"/>
  <c r="AD317" i="8"/>
  <c r="AP317" i="8" s="1"/>
  <c r="F317" i="8" s="1"/>
  <c r="AP315" i="5"/>
  <c r="Y286" i="8"/>
  <c r="AV278" i="5"/>
  <c r="U323" i="8"/>
  <c r="AR321" i="5"/>
  <c r="AF218" i="8"/>
  <c r="AR218" i="8" s="1"/>
  <c r="H218" i="8" s="1"/>
  <c r="AR199" i="5"/>
  <c r="Y16" i="8"/>
  <c r="AW16" i="8" s="1"/>
  <c r="AV183" i="5"/>
  <c r="Z154" i="8"/>
  <c r="AX154" i="8" s="1"/>
  <c r="AW129" i="5"/>
  <c r="BA29" i="5"/>
  <c r="AO61" i="8"/>
  <c r="BA61" i="8" s="1"/>
  <c r="Q61" i="8" s="1"/>
  <c r="AL56" i="2"/>
  <c r="AT78" i="5"/>
  <c r="W107" i="8"/>
  <c r="E15" i="3"/>
  <c r="AA45" i="8"/>
  <c r="AX9" i="5"/>
  <c r="Z165" i="8"/>
  <c r="AX165" i="8" s="1"/>
  <c r="AW140" i="5"/>
  <c r="AC41" i="2"/>
  <c r="S225" i="8"/>
  <c r="AP210" i="5"/>
  <c r="BA49" i="5"/>
  <c r="AO7" i="8"/>
  <c r="BA100" i="5"/>
  <c r="AO129" i="8"/>
  <c r="W255" i="8"/>
  <c r="AT244" i="5"/>
  <c r="AT96" i="5"/>
  <c r="W125" i="8"/>
  <c r="W199" i="8"/>
  <c r="AT177" i="5"/>
  <c r="Y250" i="8"/>
  <c r="AV238" i="5"/>
  <c r="AF44" i="8"/>
  <c r="AR44" i="8" s="1"/>
  <c r="H44" i="8" s="1"/>
  <c r="AR8" i="5"/>
  <c r="BA150" i="5"/>
  <c r="AO174" i="8"/>
  <c r="AY351" i="5"/>
  <c r="AM32" i="8"/>
  <c r="AY32" i="8" s="1"/>
  <c r="O32" i="8" s="1"/>
  <c r="AN351" i="5"/>
  <c r="S228" i="8"/>
  <c r="AP213" i="5"/>
  <c r="AT392" i="5"/>
  <c r="AH36" i="8"/>
  <c r="AT36" i="8" s="1"/>
  <c r="J36" i="8" s="1"/>
  <c r="AN392" i="5"/>
  <c r="U362" i="8"/>
  <c r="AS362" i="8" s="1"/>
  <c r="AR364" i="5"/>
  <c r="AF56" i="8"/>
  <c r="AR56" i="8" s="1"/>
  <c r="H56" i="8" s="1"/>
  <c r="AI36" i="2"/>
  <c r="AG36" i="2"/>
  <c r="AH388" i="8"/>
  <c r="AT388" i="8" s="1"/>
  <c r="J388" i="8" s="1"/>
  <c r="AT395" i="5"/>
  <c r="AN395" i="5"/>
  <c r="Y21" i="8"/>
  <c r="AV205" i="5"/>
  <c r="AN364" i="5"/>
  <c r="AB362" i="8"/>
  <c r="AZ362" i="8" s="1"/>
  <c r="AY364" i="5"/>
  <c r="BA352" i="5"/>
  <c r="AO351" i="8"/>
  <c r="U340" i="8"/>
  <c r="AR340" i="5"/>
  <c r="Z29" i="8"/>
  <c r="AX29" i="8" s="1"/>
  <c r="AW296" i="5"/>
  <c r="R187" i="8"/>
  <c r="AP187" i="8" s="1"/>
  <c r="AN164" i="5"/>
  <c r="AP12" i="8"/>
  <c r="AX33" i="5"/>
  <c r="AA64" i="8"/>
  <c r="AO117" i="8"/>
  <c r="BA88" i="5"/>
  <c r="AA103" i="8"/>
  <c r="AX74" i="5"/>
  <c r="AC350" i="8"/>
  <c r="AZ350" i="5"/>
  <c r="W56" i="8"/>
  <c r="AU56" i="8" s="1"/>
  <c r="AT23" i="5"/>
  <c r="AL36" i="2"/>
  <c r="Z274" i="8"/>
  <c r="AW266" i="5"/>
  <c r="Z248" i="8"/>
  <c r="AW236" i="5"/>
  <c r="Z59" i="8"/>
  <c r="AW26" i="5"/>
  <c r="AC161" i="8"/>
  <c r="AZ136" i="5"/>
  <c r="AC91" i="8"/>
  <c r="AZ62" i="5"/>
  <c r="R39" i="8"/>
  <c r="AN2" i="5"/>
  <c r="Y333" i="8"/>
  <c r="AV333" i="5"/>
  <c r="Y388" i="8"/>
  <c r="AV395" i="5"/>
  <c r="AX376" i="5"/>
  <c r="AA372" i="8"/>
  <c r="AO240" i="8"/>
  <c r="BA240" i="8" s="1"/>
  <c r="Q240" i="8" s="1"/>
  <c r="BA227" i="5"/>
  <c r="AL25" i="2"/>
  <c r="W129" i="8"/>
  <c r="AT100" i="5"/>
  <c r="AP63" i="5"/>
  <c r="AD92" i="8"/>
  <c r="AQ239" i="5"/>
  <c r="AE251" i="8"/>
  <c r="AQ251" i="8" s="1"/>
  <c r="G251" i="8" s="1"/>
  <c r="R191" i="8"/>
  <c r="AN168" i="5"/>
  <c r="AT211" i="5"/>
  <c r="W226" i="8"/>
  <c r="AU226" i="8" s="1"/>
  <c r="W342" i="8"/>
  <c r="AU342" i="8" s="1"/>
  <c r="AT342" i="5"/>
  <c r="R74" i="8"/>
  <c r="AN43" i="5"/>
  <c r="S118" i="8"/>
  <c r="AP89" i="5"/>
  <c r="BA75" i="8"/>
  <c r="Q75" i="8" s="1"/>
  <c r="K285" i="8"/>
  <c r="W5" i="8"/>
  <c r="AT31" i="5"/>
  <c r="AL29" i="2"/>
  <c r="AQ211" i="5"/>
  <c r="AE226" i="8"/>
  <c r="AQ226" i="8" s="1"/>
  <c r="Y257" i="8"/>
  <c r="AV246" i="5"/>
  <c r="U180" i="8"/>
  <c r="AR156" i="5"/>
  <c r="AP139" i="8"/>
  <c r="F139" i="8" s="1"/>
  <c r="Y28" i="8"/>
  <c r="AV279" i="5"/>
  <c r="Y51" i="8"/>
  <c r="AW51" i="8" s="1"/>
  <c r="AV16" i="5"/>
  <c r="AG324" i="8"/>
  <c r="AS322" i="5"/>
  <c r="W244" i="8"/>
  <c r="AT232" i="5"/>
  <c r="W151" i="8"/>
  <c r="AT126" i="5"/>
  <c r="V34" i="8"/>
  <c r="AT34" i="8" s="1"/>
  <c r="AS370" i="5"/>
  <c r="Y138" i="8"/>
  <c r="AV109" i="5"/>
  <c r="X368" i="8"/>
  <c r="AV368" i="8" s="1"/>
  <c r="AU371" i="5"/>
  <c r="W346" i="8"/>
  <c r="AU346" i="8" s="1"/>
  <c r="AT346" i="5"/>
  <c r="AD20" i="2"/>
  <c r="AQ73" i="5"/>
  <c r="AE102" i="8"/>
  <c r="U335" i="8"/>
  <c r="AR335" i="5"/>
  <c r="L147" i="8"/>
  <c r="AO107" i="8"/>
  <c r="BA78" i="5"/>
  <c r="U359" i="8"/>
  <c r="AS359" i="8" s="1"/>
  <c r="AR360" i="5"/>
  <c r="R73" i="8"/>
  <c r="AN42" i="5"/>
  <c r="Z373" i="8"/>
  <c r="AW377" i="5"/>
  <c r="X295" i="8"/>
  <c r="AV295" i="8" s="1"/>
  <c r="AU288" i="5"/>
  <c r="X375" i="8"/>
  <c r="AV375" i="8" s="1"/>
  <c r="AU379" i="5"/>
  <c r="Y226" i="8"/>
  <c r="AV211" i="5"/>
  <c r="R282" i="8"/>
  <c r="AN274" i="5"/>
  <c r="AX198" i="5"/>
  <c r="AA217" i="8"/>
  <c r="W156" i="8"/>
  <c r="AT131" i="5"/>
  <c r="AC7" i="2"/>
  <c r="AD70" i="8"/>
  <c r="AP39" i="5"/>
  <c r="AX296" i="5"/>
  <c r="AA29" i="8"/>
  <c r="AA79" i="8"/>
  <c r="AX50" i="5"/>
  <c r="AC315" i="8"/>
  <c r="AZ313" i="5"/>
  <c r="AC288" i="8"/>
  <c r="AZ281" i="5"/>
  <c r="X327" i="8"/>
  <c r="AU326" i="5"/>
  <c r="AD223" i="8"/>
  <c r="AP208" i="5"/>
  <c r="Z361" i="8"/>
  <c r="AX361" i="8" s="1"/>
  <c r="AW363" i="5"/>
  <c r="X42" i="8"/>
  <c r="AV42" i="8" s="1"/>
  <c r="AU6" i="5"/>
  <c r="AF284" i="8"/>
  <c r="AR284" i="8" s="1"/>
  <c r="H284" i="8" s="1"/>
  <c r="AR276" i="5"/>
  <c r="AC90" i="8"/>
  <c r="AZ61" i="5"/>
  <c r="AH391" i="8"/>
  <c r="AT391" i="8" s="1"/>
  <c r="J391" i="8" s="1"/>
  <c r="AT398" i="5"/>
  <c r="AN398" i="5"/>
  <c r="Y173" i="8"/>
  <c r="AW173" i="8" s="1"/>
  <c r="AV149" i="5"/>
  <c r="AK37" i="8"/>
  <c r="AW401" i="5"/>
  <c r="AC355" i="8"/>
  <c r="AZ356" i="5"/>
  <c r="AG42" i="2"/>
  <c r="AI42" i="2"/>
  <c r="AF23" i="8"/>
  <c r="AR23" i="8" s="1"/>
  <c r="H23" i="8" s="1"/>
  <c r="S195" i="8"/>
  <c r="AP173" i="5"/>
  <c r="AC296" i="8"/>
  <c r="AZ289" i="5"/>
  <c r="U31" i="8"/>
  <c r="AR331" i="5"/>
  <c r="AC58" i="2"/>
  <c r="S242" i="8"/>
  <c r="AP230" i="5"/>
  <c r="Y299" i="8"/>
  <c r="AW299" i="8" s="1"/>
  <c r="AV292" i="5"/>
  <c r="AX214" i="5"/>
  <c r="AA22" i="8"/>
  <c r="AC187" i="8"/>
  <c r="BA187" i="8" s="1"/>
  <c r="AZ164" i="5"/>
  <c r="AA121" i="8"/>
  <c r="AX92" i="5"/>
  <c r="AE49" i="8"/>
  <c r="AQ14" i="5"/>
  <c r="AN355" i="5"/>
  <c r="AB354" i="8"/>
  <c r="AZ354" i="8" s="1"/>
  <c r="AY355" i="5"/>
  <c r="W31" i="8"/>
  <c r="AU31" i="8" s="1"/>
  <c r="AT331" i="5"/>
  <c r="AC376" i="8"/>
  <c r="AZ380" i="5"/>
  <c r="AO265" i="8"/>
  <c r="BA256" i="5"/>
  <c r="W101" i="8"/>
  <c r="AU101" i="8" s="1"/>
  <c r="AL18" i="2"/>
  <c r="AT72" i="5"/>
  <c r="AQ155" i="5"/>
  <c r="AE179" i="8"/>
  <c r="AC43" i="2"/>
  <c r="AP218" i="5"/>
  <c r="AD231" i="8"/>
  <c r="R40" i="8"/>
  <c r="AN3" i="5"/>
  <c r="Z227" i="8"/>
  <c r="AX227" i="8" s="1"/>
  <c r="AW212" i="5"/>
  <c r="AR274" i="5"/>
  <c r="AF282" i="8"/>
  <c r="AR282" i="8" s="1"/>
  <c r="H282" i="8" s="1"/>
  <c r="AS309" i="5"/>
  <c r="AG311" i="8"/>
  <c r="AU136" i="8"/>
  <c r="K136" i="8" s="1"/>
  <c r="AW93" i="5"/>
  <c r="Z122" i="8"/>
  <c r="AX122" i="8" s="1"/>
  <c r="AP376" i="5"/>
  <c r="AD372" i="8"/>
  <c r="AP372" i="8" s="1"/>
  <c r="F372" i="8" s="1"/>
  <c r="Z188" i="8"/>
  <c r="AW165" i="5"/>
  <c r="AA170" i="8"/>
  <c r="AX145" i="5"/>
  <c r="AA99" i="8"/>
  <c r="E31" i="3"/>
  <c r="AX70" i="5"/>
  <c r="AX10" i="5"/>
  <c r="AX172" i="5"/>
  <c r="AA14" i="8"/>
  <c r="AX192" i="5"/>
  <c r="AA211" i="8"/>
  <c r="AC144" i="8"/>
  <c r="AZ116" i="5"/>
  <c r="Y331" i="8"/>
  <c r="AV330" i="5"/>
  <c r="AQ116" i="5"/>
  <c r="AE144" i="8"/>
  <c r="AQ144" i="8" s="1"/>
  <c r="G144" i="8" s="1"/>
  <c r="S205" i="8"/>
  <c r="AP185" i="5"/>
  <c r="AT402" i="5"/>
  <c r="AN402" i="5"/>
  <c r="AH394" i="8"/>
  <c r="AT394" i="8" s="1"/>
  <c r="J394" i="8" s="1"/>
  <c r="Z21" i="8"/>
  <c r="AX21" i="8" s="1"/>
  <c r="AW205" i="5"/>
  <c r="AF11" i="8"/>
  <c r="AR11" i="8" s="1"/>
  <c r="H11" i="8" s="1"/>
  <c r="AR125" i="5"/>
  <c r="AC86" i="8"/>
  <c r="AZ57" i="5"/>
  <c r="AC115" i="8"/>
  <c r="AZ86" i="5"/>
  <c r="X112" i="8"/>
  <c r="AV112" i="8" s="1"/>
  <c r="AU83" i="5"/>
  <c r="AC313" i="8"/>
  <c r="AZ311" i="5"/>
  <c r="AN62" i="5"/>
  <c r="R91" i="8"/>
  <c r="AP276" i="5"/>
  <c r="AD284" i="8"/>
  <c r="AP284" i="8" s="1"/>
  <c r="F284" i="8" s="1"/>
  <c r="AX370" i="8"/>
  <c r="AV85" i="5"/>
  <c r="Y114" i="8"/>
  <c r="Z203" i="8"/>
  <c r="AX203" i="8" s="1"/>
  <c r="AW182" i="5"/>
  <c r="AJ252" i="8"/>
  <c r="AV252" i="8" s="1"/>
  <c r="L252" i="8" s="1"/>
  <c r="AV241" i="5"/>
  <c r="AC322" i="8"/>
  <c r="AZ320" i="5"/>
  <c r="AQ132" i="5"/>
  <c r="AE157" i="8"/>
  <c r="U348" i="8"/>
  <c r="AR348" i="5"/>
  <c r="W275" i="8"/>
  <c r="AT267" i="5"/>
  <c r="AX156" i="5"/>
  <c r="AC25" i="2"/>
  <c r="AD129" i="8"/>
  <c r="AP100" i="5"/>
  <c r="AX72" i="8"/>
  <c r="N72" i="8" s="1"/>
  <c r="AN176" i="5"/>
  <c r="AB198" i="8"/>
  <c r="AZ198" i="8" s="1"/>
  <c r="AY176" i="5"/>
  <c r="E7" i="3"/>
  <c r="AX78" i="5"/>
  <c r="AL107" i="8"/>
  <c r="AO161" i="8"/>
  <c r="BA136" i="5"/>
  <c r="AO97" i="8"/>
  <c r="BA68" i="5"/>
  <c r="W70" i="8"/>
  <c r="AT39" i="5"/>
  <c r="AL7" i="2"/>
  <c r="AN144" i="5"/>
  <c r="R169" i="8"/>
  <c r="AP169" i="8" s="1"/>
  <c r="AP66" i="5"/>
  <c r="AD95" i="8"/>
  <c r="AW177" i="5"/>
  <c r="AK199" i="8"/>
  <c r="X231" i="8"/>
  <c r="AU218" i="5"/>
  <c r="Y293" i="8"/>
  <c r="AV286" i="5"/>
  <c r="AP143" i="5"/>
  <c r="AD168" i="8"/>
  <c r="AP168" i="8" s="1"/>
  <c r="F168" i="8" s="1"/>
  <c r="Y359" i="8"/>
  <c r="AV360" i="5"/>
  <c r="Z367" i="8"/>
  <c r="AW369" i="5"/>
  <c r="AQ141" i="5"/>
  <c r="AE166" i="8"/>
  <c r="AZ107" i="5"/>
  <c r="AC136" i="8"/>
  <c r="BE89" i="2"/>
  <c r="N312" i="8"/>
  <c r="M108" i="8"/>
  <c r="L189" i="8"/>
  <c r="K131" i="8"/>
  <c r="AU319" i="5"/>
  <c r="N54" i="8"/>
  <c r="O40" i="8"/>
  <c r="AV366" i="5"/>
  <c r="M6" i="8"/>
  <c r="N118" i="8"/>
  <c r="AL4" i="2"/>
  <c r="AN105" i="5"/>
  <c r="BA347" i="8"/>
  <c r="Q347" i="8" s="1"/>
  <c r="K338" i="8"/>
  <c r="L142" i="8"/>
  <c r="AP353" i="8"/>
  <c r="F353" i="8" s="1"/>
  <c r="AW270" i="8"/>
  <c r="M270" i="8" s="1"/>
  <c r="P48" i="8"/>
  <c r="F304" i="8"/>
  <c r="AN339" i="5"/>
  <c r="L201" i="8"/>
  <c r="N88" i="8"/>
  <c r="AN186" i="5"/>
  <c r="K29" i="8"/>
  <c r="P280" i="8"/>
  <c r="P245" i="8"/>
  <c r="AP273" i="5"/>
  <c r="X270" i="8"/>
  <c r="AV270" i="8" s="1"/>
  <c r="AU261" i="5"/>
  <c r="W375" i="8"/>
  <c r="AU375" i="8" s="1"/>
  <c r="AT379" i="5"/>
  <c r="AX93" i="5"/>
  <c r="AA122" i="8"/>
  <c r="Y194" i="8"/>
  <c r="AV171" i="5"/>
  <c r="Y278" i="8"/>
  <c r="AW278" i="8" s="1"/>
  <c r="AV270" i="5"/>
  <c r="X193" i="8"/>
  <c r="AV193" i="8" s="1"/>
  <c r="AU170" i="5"/>
  <c r="AX212" i="5"/>
  <c r="AA227" i="8"/>
  <c r="W191" i="8"/>
  <c r="AT168" i="5"/>
  <c r="AC68" i="8"/>
  <c r="AZ37" i="5"/>
  <c r="AO122" i="8"/>
  <c r="BA122" i="8" s="1"/>
  <c r="BA93" i="5"/>
  <c r="R50" i="8"/>
  <c r="AN15" i="5"/>
  <c r="Y332" i="8"/>
  <c r="AV332" i="5"/>
  <c r="S204" i="8"/>
  <c r="AP184" i="5"/>
  <c r="K75" i="8"/>
  <c r="X141" i="8"/>
  <c r="AV141" i="8" s="1"/>
  <c r="AU112" i="5"/>
  <c r="X179" i="8"/>
  <c r="AV179" i="8" s="1"/>
  <c r="AU155" i="5"/>
  <c r="Y70" i="8"/>
  <c r="AV39" i="5"/>
  <c r="AA83" i="8"/>
  <c r="AX54" i="5"/>
  <c r="O197" i="5"/>
  <c r="AN197" i="5" s="1"/>
  <c r="AG216" i="8"/>
  <c r="W379" i="8"/>
  <c r="AU379" i="8" s="1"/>
  <c r="AT383" i="5"/>
  <c r="S170" i="8"/>
  <c r="AP145" i="5"/>
  <c r="AA124" i="8"/>
  <c r="AX95" i="5"/>
  <c r="W311" i="8"/>
  <c r="AT309" i="5"/>
  <c r="AC58" i="8"/>
  <c r="AZ25" i="5"/>
  <c r="AO194" i="8"/>
  <c r="BA171" i="5"/>
  <c r="AS153" i="5"/>
  <c r="AG177" i="8"/>
  <c r="AS177" i="8" s="1"/>
  <c r="I177" i="8" s="1"/>
  <c r="Z234" i="8"/>
  <c r="AX234" i="8" s="1"/>
  <c r="AW221" i="5"/>
  <c r="AO285" i="8"/>
  <c r="BA277" i="5"/>
  <c r="AO5" i="8"/>
  <c r="BA31" i="5"/>
  <c r="AQ220" i="5"/>
  <c r="AE233" i="8"/>
  <c r="R45" i="8"/>
  <c r="AN9" i="5"/>
  <c r="AI292" i="8"/>
  <c r="AU285" i="5"/>
  <c r="AN141" i="5"/>
  <c r="R166" i="8"/>
  <c r="S179" i="8"/>
  <c r="AP155" i="5"/>
  <c r="AD359" i="8"/>
  <c r="AP359" i="8" s="1"/>
  <c r="F359" i="8" s="1"/>
  <c r="AP360" i="5"/>
  <c r="W287" i="8"/>
  <c r="AT280" i="5"/>
  <c r="AS164" i="5"/>
  <c r="AG187" i="8"/>
  <c r="AS187" i="8" s="1"/>
  <c r="AO115" i="8"/>
  <c r="BA86" i="5"/>
  <c r="BA18" i="5"/>
  <c r="AO53" i="8"/>
  <c r="AY5" i="8"/>
  <c r="O5" i="8" s="1"/>
  <c r="AN308" i="5"/>
  <c r="AY308" i="5"/>
  <c r="AM310" i="8"/>
  <c r="AY310" i="8" s="1"/>
  <c r="O310" i="8" s="1"/>
  <c r="Y372" i="8"/>
  <c r="AV376" i="5"/>
  <c r="Z101" i="8"/>
  <c r="AX101" i="8" s="1"/>
  <c r="AW72" i="5"/>
  <c r="AC62" i="8"/>
  <c r="AZ30" i="5"/>
  <c r="AC16" i="2"/>
  <c r="AP70" i="5"/>
  <c r="AD99" i="8"/>
  <c r="W240" i="8"/>
  <c r="AT227" i="5"/>
  <c r="AY330" i="5"/>
  <c r="AM331" i="8"/>
  <c r="AY331" i="8" s="1"/>
  <c r="O331" i="8" s="1"/>
  <c r="AN330" i="5"/>
  <c r="AD300" i="8"/>
  <c r="AP293" i="5"/>
  <c r="R261" i="8"/>
  <c r="AN251" i="5"/>
  <c r="AQ229" i="5"/>
  <c r="AE241" i="8"/>
  <c r="Y189" i="8"/>
  <c r="AV166" i="5"/>
  <c r="Y148" i="8"/>
  <c r="AV120" i="5"/>
  <c r="AA69" i="8"/>
  <c r="AX38" i="5"/>
  <c r="E11" i="3"/>
  <c r="AX85" i="5"/>
  <c r="AA114" i="8"/>
  <c r="E6" i="3"/>
  <c r="AX94" i="5"/>
  <c r="AA123" i="8"/>
  <c r="AL98" i="8"/>
  <c r="AX98" i="8" s="1"/>
  <c r="N98" i="8" s="1"/>
  <c r="E43" i="3"/>
  <c r="AX69" i="5"/>
  <c r="AC362" i="8"/>
  <c r="AZ364" i="5"/>
  <c r="W314" i="8"/>
  <c r="AT312" i="5"/>
  <c r="AL47" i="2"/>
  <c r="AG48" i="8"/>
  <c r="AS13" i="5"/>
  <c r="W369" i="8"/>
  <c r="AU369" i="8" s="1"/>
  <c r="AT372" i="5"/>
  <c r="Z292" i="8"/>
  <c r="AX292" i="8" s="1"/>
  <c r="AW285" i="5"/>
  <c r="AX129" i="8"/>
  <c r="AC69" i="8"/>
  <c r="AZ38" i="5"/>
  <c r="R111" i="8"/>
  <c r="AN82" i="5"/>
  <c r="AC151" i="8"/>
  <c r="AZ126" i="5"/>
  <c r="AO95" i="2"/>
  <c r="AC267" i="8"/>
  <c r="AZ258" i="5"/>
  <c r="AC57" i="8"/>
  <c r="AZ24" i="5"/>
  <c r="AU208" i="5"/>
  <c r="X223" i="8"/>
  <c r="BK89" i="2"/>
  <c r="AZ66" i="8"/>
  <c r="P66" i="8" s="1"/>
  <c r="AX366" i="8"/>
  <c r="W297" i="8"/>
  <c r="AT290" i="5"/>
  <c r="AG167" i="8"/>
  <c r="AS142" i="5"/>
  <c r="AD293" i="8"/>
  <c r="AP286" i="5"/>
  <c r="AN341" i="5"/>
  <c r="AY341" i="5"/>
  <c r="AM341" i="8"/>
  <c r="AY341" i="8" s="1"/>
  <c r="O341" i="8" s="1"/>
  <c r="X351" i="8"/>
  <c r="AU352" i="5"/>
  <c r="Y27" i="8"/>
  <c r="AV265" i="5"/>
  <c r="X325" i="8"/>
  <c r="AU323" i="5"/>
  <c r="AA229" i="8"/>
  <c r="AX216" i="5"/>
  <c r="W163" i="8"/>
  <c r="AT138" i="5"/>
  <c r="AP114" i="5"/>
  <c r="AD142" i="8"/>
  <c r="R70" i="8"/>
  <c r="AN39" i="5"/>
  <c r="AD321" i="8"/>
  <c r="AP321" i="8" s="1"/>
  <c r="F321" i="8" s="1"/>
  <c r="AP319" i="5"/>
  <c r="AG130" i="8"/>
  <c r="AS101" i="5"/>
  <c r="Z297" i="8"/>
  <c r="AX297" i="8" s="1"/>
  <c r="AW290" i="5"/>
  <c r="Z239" i="8"/>
  <c r="AW226" i="5"/>
  <c r="AX143" i="5"/>
  <c r="AA168" i="8"/>
  <c r="S206" i="8"/>
  <c r="AP186" i="5"/>
  <c r="AO65" i="8"/>
  <c r="BA34" i="5"/>
  <c r="AT29" i="5"/>
  <c r="W61" i="8"/>
  <c r="AQ187" i="5"/>
  <c r="AE207" i="8"/>
  <c r="AP84" i="5"/>
  <c r="AD113" i="8"/>
  <c r="AQ144" i="5"/>
  <c r="AE169" i="8"/>
  <c r="X138" i="8"/>
  <c r="AV138" i="8" s="1"/>
  <c r="AU109" i="5"/>
  <c r="AW88" i="8"/>
  <c r="M88" i="8" s="1"/>
  <c r="R60" i="8"/>
  <c r="AN27" i="5"/>
  <c r="BG95" i="2"/>
  <c r="AP123" i="5"/>
  <c r="S9" i="8"/>
  <c r="AP359" i="5"/>
  <c r="AD358" i="8"/>
  <c r="AP358" i="8" s="1"/>
  <c r="F358" i="8" s="1"/>
  <c r="AS330" i="5"/>
  <c r="AG331" i="8"/>
  <c r="AX140" i="5"/>
  <c r="AA165" i="8"/>
  <c r="Z142" i="8"/>
  <c r="AW114" i="5"/>
  <c r="AX303" i="8"/>
  <c r="AY265" i="8"/>
  <c r="O265" i="8" s="1"/>
  <c r="AX229" i="8"/>
  <c r="Y35" i="8"/>
  <c r="AV374" i="5"/>
  <c r="AO200" i="8"/>
  <c r="BA178" i="5"/>
  <c r="AG31" i="8"/>
  <c r="AS331" i="5"/>
  <c r="Z110" i="8"/>
  <c r="AW81" i="5"/>
  <c r="Z56" i="8"/>
  <c r="AX56" i="8" s="1"/>
  <c r="AW23" i="5"/>
  <c r="U274" i="8"/>
  <c r="AR266" i="5"/>
  <c r="AC39" i="8"/>
  <c r="AZ2" i="5"/>
  <c r="X55" i="8"/>
  <c r="AU22" i="5"/>
  <c r="W20" i="8"/>
  <c r="AT204" i="5"/>
  <c r="AD97" i="8"/>
  <c r="AP68" i="5"/>
  <c r="R285" i="8"/>
  <c r="AN277" i="5"/>
  <c r="AZ3" i="5"/>
  <c r="AC40" i="8"/>
  <c r="BA40" i="8" s="1"/>
  <c r="U327" i="8"/>
  <c r="AR326" i="5"/>
  <c r="BA43" i="5"/>
  <c r="AO74" i="8"/>
  <c r="AL66" i="2"/>
  <c r="W252" i="8"/>
  <c r="AT241" i="5"/>
  <c r="AS340" i="5"/>
  <c r="AG340" i="8"/>
  <c r="AC2" i="2"/>
  <c r="AP261" i="5"/>
  <c r="AD270" i="8"/>
  <c r="AO256" i="8"/>
  <c r="BA245" i="5"/>
  <c r="AI137" i="8"/>
  <c r="AU108" i="5"/>
  <c r="AX275" i="5"/>
  <c r="AA283" i="8"/>
  <c r="AA85" i="8"/>
  <c r="E36" i="3"/>
  <c r="AX56" i="5"/>
  <c r="R124" i="8"/>
  <c r="AN95" i="5"/>
  <c r="AO262" i="8"/>
  <c r="BA252" i="5"/>
  <c r="AL3" i="2"/>
  <c r="W111" i="8"/>
  <c r="AU111" i="8" s="1"/>
  <c r="AT82" i="5"/>
  <c r="AT12" i="5"/>
  <c r="W3" i="8"/>
  <c r="AW411" i="5"/>
  <c r="AK402" i="8"/>
  <c r="R133" i="8"/>
  <c r="AN104" i="5"/>
  <c r="BH89" i="2"/>
  <c r="AN289" i="5"/>
  <c r="AN382" i="5"/>
  <c r="AB378" i="8"/>
  <c r="AZ378" i="8" s="1"/>
  <c r="AY382" i="5"/>
  <c r="AY310" i="5"/>
  <c r="AM312" i="8"/>
  <c r="AY312" i="8" s="1"/>
  <c r="O312" i="8" s="1"/>
  <c r="AN310" i="5"/>
  <c r="Z206" i="8"/>
  <c r="AW186" i="5"/>
  <c r="AO4" i="8"/>
  <c r="BA28" i="5"/>
  <c r="AS253" i="5"/>
  <c r="AG263" i="8"/>
  <c r="AS263" i="8" s="1"/>
  <c r="AC200" i="8"/>
  <c r="AZ178" i="5"/>
  <c r="AS92" i="5"/>
  <c r="AG121" i="8"/>
  <c r="AA140" i="8"/>
  <c r="AX111" i="5"/>
  <c r="R6" i="8"/>
  <c r="AN48" i="5"/>
  <c r="AW45" i="5"/>
  <c r="Z76" i="8"/>
  <c r="Y321" i="8"/>
  <c r="AV319" i="5"/>
  <c r="AX122" i="5"/>
  <c r="AA150" i="8"/>
  <c r="Y60" i="8"/>
  <c r="AV27" i="5"/>
  <c r="AR79" i="5"/>
  <c r="AF108" i="8"/>
  <c r="AR108" i="8" s="1"/>
  <c r="H108" i="8" s="1"/>
  <c r="Y365" i="8"/>
  <c r="AV367" i="5"/>
  <c r="AS92" i="2"/>
  <c r="U83" i="8"/>
  <c r="AR54" i="5"/>
  <c r="AC178" i="8"/>
  <c r="AZ154" i="5"/>
  <c r="AC193" i="8"/>
  <c r="AZ170" i="5"/>
  <c r="X198" i="8"/>
  <c r="AV198" i="8" s="1"/>
  <c r="AU176" i="5"/>
  <c r="U326" i="8"/>
  <c r="AR324" i="5"/>
  <c r="Y212" i="8"/>
  <c r="AV193" i="5"/>
  <c r="F172" i="8"/>
  <c r="Y59" i="8"/>
  <c r="AV26" i="5"/>
  <c r="Y389" i="8"/>
  <c r="AV396" i="5"/>
  <c r="AT103" i="5"/>
  <c r="W132" i="8"/>
  <c r="F232" i="8"/>
  <c r="U372" i="8"/>
  <c r="AR376" i="5"/>
  <c r="V364" i="8"/>
  <c r="AS366" i="5"/>
  <c r="AK50" i="2"/>
  <c r="Y184" i="8"/>
  <c r="AV161" i="5"/>
  <c r="AP314" i="5"/>
  <c r="AD316" i="8"/>
  <c r="AP316" i="8" s="1"/>
  <c r="F316" i="8" s="1"/>
  <c r="AC62" i="2"/>
  <c r="Y255" i="8"/>
  <c r="AV244" i="5"/>
  <c r="Z259" i="8"/>
  <c r="AW249" i="5"/>
  <c r="BA169" i="5"/>
  <c r="AO192" i="8"/>
  <c r="AC160" i="8"/>
  <c r="AZ135" i="5"/>
  <c r="AO128" i="8"/>
  <c r="BA128" i="8" s="1"/>
  <c r="BA99" i="5"/>
  <c r="Z311" i="8"/>
  <c r="AW309" i="5"/>
  <c r="AX239" i="5"/>
  <c r="AA251" i="8"/>
  <c r="R215" i="8"/>
  <c r="AN196" i="5"/>
  <c r="N381" i="8"/>
  <c r="Z153" i="8"/>
  <c r="AX153" i="8" s="1"/>
  <c r="AW128" i="5"/>
  <c r="S182" i="8"/>
  <c r="AP158" i="5"/>
  <c r="AO71" i="8"/>
  <c r="BA40" i="5"/>
  <c r="AO130" i="8"/>
  <c r="BA101" i="5"/>
  <c r="W161" i="8"/>
  <c r="AT136" i="5"/>
  <c r="W97" i="8"/>
  <c r="AT68" i="5"/>
  <c r="AT17" i="5"/>
  <c r="W52" i="8"/>
  <c r="X28" i="8"/>
  <c r="AV28" i="8" s="1"/>
  <c r="AU279" i="5"/>
  <c r="AP74" i="5"/>
  <c r="AD103" i="8"/>
  <c r="AP103" i="8" s="1"/>
  <c r="Y190" i="8"/>
  <c r="AV167" i="5"/>
  <c r="AF43" i="8"/>
  <c r="AR43" i="8" s="1"/>
  <c r="H43" i="8" s="1"/>
  <c r="AG39" i="2"/>
  <c r="AF39" i="2"/>
  <c r="AI39" i="2"/>
  <c r="AR7" i="5"/>
  <c r="AO134" i="8"/>
  <c r="BA105" i="5"/>
  <c r="AY323" i="5"/>
  <c r="AM325" i="8"/>
  <c r="AY325" i="8" s="1"/>
  <c r="O325" i="8" s="1"/>
  <c r="AN323" i="5"/>
  <c r="S276" i="8"/>
  <c r="AP268" i="5"/>
  <c r="AH399" i="8"/>
  <c r="AT399" i="8" s="1"/>
  <c r="J399" i="8" s="1"/>
  <c r="AT408" i="5"/>
  <c r="AN408" i="5"/>
  <c r="U353" i="8"/>
  <c r="AS353" i="8" s="1"/>
  <c r="AR354" i="5"/>
  <c r="BA305" i="8"/>
  <c r="AQ186" i="5"/>
  <c r="AE206" i="8"/>
  <c r="AN352" i="5"/>
  <c r="AB351" i="8"/>
  <c r="AZ351" i="8" s="1"/>
  <c r="AY352" i="5"/>
  <c r="AY305" i="8"/>
  <c r="O305" i="8" s="1"/>
  <c r="AD66" i="2"/>
  <c r="AQ241" i="5"/>
  <c r="AE252" i="8"/>
  <c r="X360" i="8"/>
  <c r="AU361" i="5"/>
  <c r="Z270" i="8"/>
  <c r="AW261" i="5"/>
  <c r="AD243" i="8"/>
  <c r="AP231" i="5"/>
  <c r="S16" i="8"/>
  <c r="AP183" i="5"/>
  <c r="R159" i="8"/>
  <c r="AP159" i="8" s="1"/>
  <c r="AN134" i="5"/>
  <c r="AV63" i="5"/>
  <c r="Y92" i="8"/>
  <c r="AP11" i="5"/>
  <c r="AD47" i="8"/>
  <c r="AO152" i="8"/>
  <c r="BA152" i="8" s="1"/>
  <c r="BA127" i="5"/>
  <c r="AA49" i="8"/>
  <c r="AX14" i="5"/>
  <c r="BA210" i="8"/>
  <c r="Q210" i="8" s="1"/>
  <c r="AC308" i="8"/>
  <c r="BA308" i="8" s="1"/>
  <c r="AZ306" i="5"/>
  <c r="W339" i="8"/>
  <c r="AU339" i="8" s="1"/>
  <c r="AT339" i="5"/>
  <c r="Z271" i="8"/>
  <c r="AW262" i="5"/>
  <c r="Z250" i="8"/>
  <c r="AX250" i="8" s="1"/>
  <c r="AW238" i="5"/>
  <c r="Z57" i="8"/>
  <c r="AX57" i="8" s="1"/>
  <c r="AW24" i="5"/>
  <c r="AC94" i="8"/>
  <c r="AZ65" i="5"/>
  <c r="AC77" i="8"/>
  <c r="AZ46" i="5"/>
  <c r="AW156" i="5"/>
  <c r="AK180" i="8"/>
  <c r="R155" i="8"/>
  <c r="AP155" i="8" s="1"/>
  <c r="AN130" i="5"/>
  <c r="Y325" i="8"/>
  <c r="AV323" i="5"/>
  <c r="Y235" i="8"/>
  <c r="AV222" i="5"/>
  <c r="AA374" i="8"/>
  <c r="AX378" i="5"/>
  <c r="AX255" i="5"/>
  <c r="AA264" i="8"/>
  <c r="AP296" i="5"/>
  <c r="AD29" i="8"/>
  <c r="AP29" i="8" s="1"/>
  <c r="F29" i="8" s="1"/>
  <c r="AC192" i="8"/>
  <c r="AZ169" i="5"/>
  <c r="W319" i="8"/>
  <c r="AT317" i="5"/>
  <c r="AN127" i="5"/>
  <c r="R152" i="8"/>
  <c r="W224" i="8"/>
  <c r="AU224" i="8" s="1"/>
  <c r="AT209" i="5"/>
  <c r="W340" i="8"/>
  <c r="AT340" i="5"/>
  <c r="AL75" i="2"/>
  <c r="AT240" i="5"/>
  <c r="S135" i="8"/>
  <c r="AP106" i="5"/>
  <c r="AN154" i="5"/>
  <c r="R178" i="8"/>
  <c r="AQ209" i="5"/>
  <c r="AE224" i="8"/>
  <c r="AZ95" i="2"/>
  <c r="Y149" i="8"/>
  <c r="AV121" i="5"/>
  <c r="X178" i="8"/>
  <c r="AV178" i="8" s="1"/>
  <c r="AU154" i="5"/>
  <c r="Y254" i="8"/>
  <c r="AV243" i="5"/>
  <c r="AC38" i="2"/>
  <c r="AP24" i="5"/>
  <c r="AD57" i="8"/>
  <c r="AS320" i="5"/>
  <c r="AG322" i="8"/>
  <c r="AT201" i="5"/>
  <c r="AL35" i="2"/>
  <c r="W219" i="8"/>
  <c r="W141" i="8"/>
  <c r="AT112" i="5"/>
  <c r="V33" i="8"/>
  <c r="AT33" i="8" s="1"/>
  <c r="AS362" i="5"/>
  <c r="AK51" i="2"/>
  <c r="Y80" i="8"/>
  <c r="AV51" i="5"/>
  <c r="X359" i="8"/>
  <c r="AV359" i="8" s="1"/>
  <c r="AU360" i="5"/>
  <c r="W325" i="8"/>
  <c r="AT323" i="5"/>
  <c r="Y392" i="8"/>
  <c r="AV399" i="5"/>
  <c r="AU92" i="2"/>
  <c r="U357" i="8"/>
  <c r="AR358" i="5"/>
  <c r="Z35" i="8"/>
  <c r="AW374" i="5"/>
  <c r="X35" i="8"/>
  <c r="AV35" i="8" s="1"/>
  <c r="AU374" i="5"/>
  <c r="Y224" i="8"/>
  <c r="AV209" i="5"/>
  <c r="AX293" i="5"/>
  <c r="AA300" i="8"/>
  <c r="AL199" i="8"/>
  <c r="AX199" i="8" s="1"/>
  <c r="N199" i="8" s="1"/>
  <c r="AX177" i="5"/>
  <c r="AU29" i="5"/>
  <c r="X61" i="8"/>
  <c r="AA289" i="8"/>
  <c r="AX282" i="5"/>
  <c r="AA54" i="8"/>
  <c r="AX21" i="5"/>
  <c r="AC310" i="8"/>
  <c r="AZ308" i="5"/>
  <c r="X192" i="8"/>
  <c r="AU169" i="5"/>
  <c r="AC289" i="8"/>
  <c r="AZ282" i="5"/>
  <c r="X341" i="8"/>
  <c r="AV341" i="8" s="1"/>
  <c r="AU341" i="5"/>
  <c r="Z368" i="8"/>
  <c r="AW371" i="5"/>
  <c r="AP325" i="5"/>
  <c r="AN325" i="5"/>
  <c r="AD30" i="8"/>
  <c r="AP30" i="8" s="1"/>
  <c r="F30" i="8" s="1"/>
  <c r="BA238" i="8"/>
  <c r="Q238" i="8" s="1"/>
  <c r="N193" i="8"/>
  <c r="AF257" i="8"/>
  <c r="AR257" i="8" s="1"/>
  <c r="H257" i="8" s="1"/>
  <c r="AR246" i="5"/>
  <c r="AZ33" i="5"/>
  <c r="AC64" i="8"/>
  <c r="AH398" i="8"/>
  <c r="AT398" i="8" s="1"/>
  <c r="J398" i="8" s="1"/>
  <c r="AT406" i="5"/>
  <c r="AN406" i="5"/>
  <c r="AN203" i="5"/>
  <c r="AB19" i="8"/>
  <c r="AY203" i="5"/>
  <c r="Y90" i="8"/>
  <c r="AV61" i="5"/>
  <c r="Y214" i="8"/>
  <c r="AV195" i="5"/>
  <c r="AC356" i="8"/>
  <c r="AZ357" i="5"/>
  <c r="AC293" i="8"/>
  <c r="AZ286" i="5"/>
  <c r="U349" i="8"/>
  <c r="AR349" i="5"/>
  <c r="R301" i="8"/>
  <c r="AP301" i="8" s="1"/>
  <c r="AN294" i="5"/>
  <c r="AC266" i="8"/>
  <c r="BA266" i="8" s="1"/>
  <c r="AZ257" i="5"/>
  <c r="AX188" i="5"/>
  <c r="AL208" i="8"/>
  <c r="AX208" i="8" s="1"/>
  <c r="N208" i="8" s="1"/>
  <c r="AP62" i="5"/>
  <c r="AD91" i="8"/>
  <c r="AD65" i="8"/>
  <c r="AP65" i="8" s="1"/>
  <c r="AP34" i="5"/>
  <c r="AX218" i="8"/>
  <c r="X287" i="8"/>
  <c r="AV287" i="8" s="1"/>
  <c r="AU280" i="5"/>
  <c r="AN372" i="5"/>
  <c r="AB369" i="8"/>
  <c r="AZ369" i="8" s="1"/>
  <c r="AY372" i="5"/>
  <c r="BA382" i="5"/>
  <c r="AO378" i="8"/>
  <c r="AL60" i="2"/>
  <c r="W306" i="8"/>
  <c r="AT304" i="5"/>
  <c r="AC377" i="8"/>
  <c r="AZ381" i="5"/>
  <c r="AT124" i="5"/>
  <c r="W10" i="8"/>
  <c r="AO178" i="8"/>
  <c r="BA154" i="5"/>
  <c r="AO193" i="8"/>
  <c r="BA170" i="5"/>
  <c r="W262" i="8"/>
  <c r="AT252" i="5"/>
  <c r="L88" i="8"/>
  <c r="AQ123" i="5"/>
  <c r="AE9" i="8"/>
  <c r="R43" i="8"/>
  <c r="AN7" i="5"/>
  <c r="Z13" i="8"/>
  <c r="AW159" i="5"/>
  <c r="AG314" i="8"/>
  <c r="AS312" i="5"/>
  <c r="AK47" i="2"/>
  <c r="Z157" i="8"/>
  <c r="AX157" i="8" s="1"/>
  <c r="AW132" i="5"/>
  <c r="Z241" i="8"/>
  <c r="AW229" i="5"/>
  <c r="AP383" i="5"/>
  <c r="AD379" i="8"/>
  <c r="AP379" i="8" s="1"/>
  <c r="F379" i="8" s="1"/>
  <c r="AV309" i="8"/>
  <c r="L309" i="8" s="1"/>
  <c r="S278" i="8"/>
  <c r="AP270" i="5"/>
  <c r="AA201" i="8"/>
  <c r="AX179" i="5"/>
  <c r="AX89" i="5"/>
  <c r="AA118" i="8"/>
  <c r="W96" i="8"/>
  <c r="AT67" i="5"/>
  <c r="AY46" i="8"/>
  <c r="O46" i="8" s="1"/>
  <c r="AX158" i="5"/>
  <c r="AA182" i="8"/>
  <c r="AA59" i="8"/>
  <c r="AX26" i="5"/>
  <c r="AQ87" i="5"/>
  <c r="AE116" i="8"/>
  <c r="AD76" i="2"/>
  <c r="AZ124" i="5"/>
  <c r="AC10" i="8"/>
  <c r="Y337" i="8"/>
  <c r="AV337" i="5"/>
  <c r="AE48" i="8"/>
  <c r="AQ13" i="5"/>
  <c r="S15" i="8"/>
  <c r="AP180" i="5"/>
  <c r="Z20" i="8"/>
  <c r="AX20" i="8" s="1"/>
  <c r="AW204" i="5"/>
  <c r="AR130" i="5"/>
  <c r="AF155" i="8"/>
  <c r="AR155" i="8" s="1"/>
  <c r="H155" i="8" s="1"/>
  <c r="AC87" i="8"/>
  <c r="AZ58" i="5"/>
  <c r="AC114" i="8"/>
  <c r="AZ85" i="5"/>
  <c r="X66" i="8"/>
  <c r="AV66" i="8" s="1"/>
  <c r="AU35" i="5"/>
  <c r="AN286" i="5"/>
  <c r="R293" i="8"/>
  <c r="R99" i="8"/>
  <c r="AN70" i="5"/>
  <c r="AD256" i="8"/>
  <c r="AP245" i="5"/>
  <c r="BA120" i="8"/>
  <c r="Q120" i="8" s="1"/>
  <c r="W363" i="8"/>
  <c r="AU363" i="8" s="1"/>
  <c r="AT365" i="5"/>
  <c r="BA285" i="5"/>
  <c r="AO292" i="8"/>
  <c r="Y66" i="8"/>
  <c r="AV35" i="5"/>
  <c r="AW78" i="5"/>
  <c r="Z107" i="8"/>
  <c r="AV223" i="5"/>
  <c r="AJ236" i="8"/>
  <c r="AC307" i="8"/>
  <c r="BA307" i="8" s="1"/>
  <c r="AZ305" i="5"/>
  <c r="AF45" i="2"/>
  <c r="U305" i="8"/>
  <c r="AR303" i="5"/>
  <c r="Y260" i="8"/>
  <c r="AV250" i="5"/>
  <c r="AX187" i="8"/>
  <c r="AX117" i="5"/>
  <c r="BA120" i="5"/>
  <c r="AO148" i="8"/>
  <c r="BA148" i="8" s="1"/>
  <c r="Q148" i="8" s="1"/>
  <c r="AN171" i="5"/>
  <c r="BA198" i="5"/>
  <c r="AO217" i="8"/>
  <c r="M120" i="8"/>
  <c r="AO96" i="8"/>
  <c r="BA67" i="5"/>
  <c r="BA46" i="5"/>
  <c r="AO77" i="8"/>
  <c r="BI86" i="2"/>
  <c r="W72" i="8"/>
  <c r="AT41" i="5"/>
  <c r="AK197" i="8"/>
  <c r="AW175" i="5"/>
  <c r="U230" i="8"/>
  <c r="AR217" i="5"/>
  <c r="X133" i="8"/>
  <c r="AV133" i="8" s="1"/>
  <c r="AU104" i="5"/>
  <c r="Y264" i="8"/>
  <c r="AV255" i="5"/>
  <c r="AP101" i="5"/>
  <c r="AD130" i="8"/>
  <c r="AP130" i="8" s="1"/>
  <c r="F130" i="8" s="1"/>
  <c r="Y370" i="8"/>
  <c r="AV373" i="5"/>
  <c r="AE60" i="8"/>
  <c r="AQ27" i="5"/>
  <c r="AC153" i="8"/>
  <c r="AZ128" i="5"/>
  <c r="N84" i="8"/>
  <c r="AV79" i="5"/>
  <c r="Q381" i="8"/>
  <c r="P68" i="8"/>
  <c r="L321" i="8"/>
  <c r="AW304" i="8"/>
  <c r="M304" i="8" s="1"/>
  <c r="AX59" i="5"/>
  <c r="AX305" i="8"/>
  <c r="N305" i="8" s="1"/>
  <c r="AW364" i="8"/>
  <c r="M364" i="8" s="1"/>
  <c r="AZ48" i="5"/>
  <c r="L65" i="8"/>
  <c r="AX312" i="5"/>
  <c r="AT98" i="5"/>
  <c r="AQ238" i="8"/>
  <c r="G238" i="8" s="1"/>
  <c r="AY151" i="8"/>
  <c r="O151" i="8" s="1"/>
  <c r="AV296" i="5"/>
  <c r="AT343" i="5"/>
  <c r="K304" i="8"/>
  <c r="AT152" i="5"/>
  <c r="AV184" i="5"/>
  <c r="AQ189" i="8"/>
  <c r="G189" i="8" s="1"/>
  <c r="AL41" i="2"/>
  <c r="Q304" i="8"/>
  <c r="AX85" i="8"/>
  <c r="N85" i="8" s="1"/>
  <c r="AN13" i="5"/>
  <c r="O126" i="8"/>
  <c r="AW33" i="5"/>
  <c r="AZ237" i="5"/>
  <c r="AN272" i="5"/>
  <c r="AN233" i="5"/>
  <c r="G281" i="8"/>
  <c r="AO303" i="8"/>
  <c r="BA297" i="5"/>
  <c r="AF188" i="8"/>
  <c r="AR188" i="8" s="1"/>
  <c r="H188" i="8" s="1"/>
  <c r="AR165" i="5"/>
  <c r="X70" i="8"/>
  <c r="AU39" i="5"/>
  <c r="Z219" i="8"/>
  <c r="AW201" i="5"/>
  <c r="AC34" i="2"/>
  <c r="AP205" i="5"/>
  <c r="AD21" i="8"/>
  <c r="AP21" i="8" s="1"/>
  <c r="F21" i="8" s="1"/>
  <c r="AC40" i="2"/>
  <c r="AP6" i="5"/>
  <c r="AD42" i="8"/>
  <c r="AG341" i="8"/>
  <c r="AS341" i="5"/>
  <c r="AX236" i="5"/>
  <c r="AA248" i="8"/>
  <c r="AZ64" i="5"/>
  <c r="AC93" i="8"/>
  <c r="W55" i="8"/>
  <c r="AT22" i="5"/>
  <c r="AT128" i="5"/>
  <c r="W153" i="8"/>
  <c r="AC55" i="8"/>
  <c r="AZ22" i="5"/>
  <c r="Y290" i="8"/>
  <c r="AV283" i="5"/>
  <c r="AC340" i="8"/>
  <c r="AZ340" i="5"/>
  <c r="AE188" i="8"/>
  <c r="AQ188" i="8" s="1"/>
  <c r="G188" i="8" s="1"/>
  <c r="AQ165" i="5"/>
  <c r="X314" i="8"/>
  <c r="AV314" i="8" s="1"/>
  <c r="AU312" i="5"/>
  <c r="Y147" i="8"/>
  <c r="AV119" i="5"/>
  <c r="R175" i="8"/>
  <c r="AN151" i="5"/>
  <c r="AE276" i="8"/>
  <c r="AQ268" i="5"/>
  <c r="W266" i="8"/>
  <c r="AT257" i="5"/>
  <c r="AX180" i="5"/>
  <c r="AA15" i="8"/>
  <c r="AC363" i="8"/>
  <c r="AZ365" i="5"/>
  <c r="AC202" i="8"/>
  <c r="AZ181" i="5"/>
  <c r="AX46" i="5"/>
  <c r="AA77" i="8"/>
  <c r="BA51" i="5"/>
  <c r="AO80" i="8"/>
  <c r="BA80" i="8" s="1"/>
  <c r="AC351" i="8"/>
  <c r="AZ352" i="5"/>
  <c r="AS144" i="5"/>
  <c r="AG169" i="8"/>
  <c r="AS116" i="5"/>
  <c r="AG144" i="8"/>
  <c r="AS144" i="8" s="1"/>
  <c r="Z5" i="8"/>
  <c r="AW31" i="5"/>
  <c r="AX141" i="8"/>
  <c r="AC71" i="8"/>
  <c r="AZ40" i="5"/>
  <c r="AZ76" i="5"/>
  <c r="AC105" i="8"/>
  <c r="AC139" i="8"/>
  <c r="AZ110" i="5"/>
  <c r="AC225" i="8"/>
  <c r="AZ210" i="5"/>
  <c r="W299" i="8"/>
  <c r="AT292" i="5"/>
  <c r="AS264" i="5"/>
  <c r="AG273" i="8"/>
  <c r="W160" i="8"/>
  <c r="AT135" i="5"/>
  <c r="S164" i="8"/>
  <c r="AP139" i="5"/>
  <c r="Y142" i="8"/>
  <c r="AV114" i="5"/>
  <c r="AN32" i="5"/>
  <c r="R63" i="8"/>
  <c r="AP63" i="8" s="1"/>
  <c r="R53" i="8"/>
  <c r="AN18" i="5"/>
  <c r="AA194" i="8"/>
  <c r="AX171" i="5"/>
  <c r="AC365" i="8"/>
  <c r="AZ367" i="5"/>
  <c r="AZ359" i="8"/>
  <c r="W378" i="8"/>
  <c r="AU378" i="8" s="1"/>
  <c r="AT382" i="5"/>
  <c r="W33" i="8"/>
  <c r="AT362" i="5"/>
  <c r="AL51" i="2"/>
  <c r="W355" i="8"/>
  <c r="AU355" i="8" s="1"/>
  <c r="AT356" i="5"/>
  <c r="Z291" i="8"/>
  <c r="AX291" i="8" s="1"/>
  <c r="AW284" i="5"/>
  <c r="AR256" i="5"/>
  <c r="AF265" i="8"/>
  <c r="AR265" i="8" s="1"/>
  <c r="H265" i="8" s="1"/>
  <c r="AC403" i="8"/>
  <c r="AZ412" i="5"/>
  <c r="AZ42" i="5"/>
  <c r="AC73" i="8"/>
  <c r="R121" i="8"/>
  <c r="AN92" i="5"/>
  <c r="BD89" i="2"/>
  <c r="AC141" i="8"/>
  <c r="AZ112" i="5"/>
  <c r="AC227" i="8"/>
  <c r="AZ212" i="5"/>
  <c r="R82" i="8"/>
  <c r="AN53" i="5"/>
  <c r="AU222" i="5"/>
  <c r="X235" i="8"/>
  <c r="AU211" i="5"/>
  <c r="X226" i="8"/>
  <c r="AC231" i="8"/>
  <c r="AZ218" i="5"/>
  <c r="W298" i="8"/>
  <c r="AT291" i="5"/>
  <c r="AP255" i="5"/>
  <c r="AD264" i="8"/>
  <c r="AN326" i="5"/>
  <c r="AY326" i="5"/>
  <c r="AM327" i="8"/>
  <c r="AY327" i="8" s="1"/>
  <c r="O327" i="8" s="1"/>
  <c r="X366" i="8"/>
  <c r="AU368" i="5"/>
  <c r="Y157" i="8"/>
  <c r="AV132" i="5"/>
  <c r="AS325" i="5"/>
  <c r="AG30" i="8"/>
  <c r="AN163" i="5"/>
  <c r="R186" i="8"/>
  <c r="AA70" i="8"/>
  <c r="E32" i="3"/>
  <c r="AX39" i="5"/>
  <c r="AN238" i="5"/>
  <c r="AB250" i="8"/>
  <c r="AZ250" i="8" s="1"/>
  <c r="AY238" i="5"/>
  <c r="AD320" i="8"/>
  <c r="AP320" i="8" s="1"/>
  <c r="F320" i="8" s="1"/>
  <c r="AP318" i="5"/>
  <c r="Z302" i="8"/>
  <c r="AX302" i="8" s="1"/>
  <c r="AW295" i="5"/>
  <c r="Z24" i="8"/>
  <c r="AX24" i="8" s="1"/>
  <c r="AW228" i="5"/>
  <c r="AA128" i="8"/>
  <c r="AX99" i="5"/>
  <c r="AC61" i="2"/>
  <c r="S235" i="8"/>
  <c r="AP222" i="5"/>
  <c r="AL2" i="2"/>
  <c r="W270" i="8"/>
  <c r="AU270" i="8" s="1"/>
  <c r="AT261" i="5"/>
  <c r="W62" i="8"/>
  <c r="AT30" i="5"/>
  <c r="L85" i="8"/>
  <c r="AE228" i="8"/>
  <c r="AQ213" i="5"/>
  <c r="AP81" i="5"/>
  <c r="AD110" i="8"/>
  <c r="Y402" i="8"/>
  <c r="AV411" i="5"/>
  <c r="X348" i="8"/>
  <c r="AU348" i="5"/>
  <c r="AV86" i="2"/>
  <c r="S134" i="8"/>
  <c r="AP105" i="5"/>
  <c r="AV87" i="5"/>
  <c r="AP371" i="5"/>
  <c r="AD368" i="8"/>
  <c r="AP368" i="8" s="1"/>
  <c r="F368" i="8" s="1"/>
  <c r="AG327" i="8"/>
  <c r="AS326" i="5"/>
  <c r="AR287" i="5"/>
  <c r="AF294" i="8"/>
  <c r="AR294" i="8" s="1"/>
  <c r="H294" i="8" s="1"/>
  <c r="AD275" i="8"/>
  <c r="AP267" i="5"/>
  <c r="BA215" i="5"/>
  <c r="AO23" i="8"/>
  <c r="Y171" i="8"/>
  <c r="AV146" i="5"/>
  <c r="R54" i="8"/>
  <c r="AN21" i="5"/>
  <c r="AC5" i="2"/>
  <c r="AD272" i="8"/>
  <c r="AP272" i="8" s="1"/>
  <c r="F272" i="8" s="1"/>
  <c r="AP263" i="5"/>
  <c r="Z315" i="8"/>
  <c r="AW313" i="5"/>
  <c r="AX256" i="5"/>
  <c r="Y374" i="8"/>
  <c r="AV378" i="5"/>
  <c r="AY309" i="8"/>
  <c r="O309" i="8" s="1"/>
  <c r="X276" i="8"/>
  <c r="AV276" i="8" s="1"/>
  <c r="AU268" i="5"/>
  <c r="BA163" i="5"/>
  <c r="AO186" i="8"/>
  <c r="AK60" i="2"/>
  <c r="AS304" i="5"/>
  <c r="AG306" i="8"/>
  <c r="AW85" i="5"/>
  <c r="Z114" i="8"/>
  <c r="AX114" i="8" s="1"/>
  <c r="AF253" i="8"/>
  <c r="AR253" i="8" s="1"/>
  <c r="H253" i="8" s="1"/>
  <c r="AR242" i="5"/>
  <c r="AR243" i="5"/>
  <c r="AF254" i="8"/>
  <c r="AR254" i="8" s="1"/>
  <c r="H254" i="8" s="1"/>
  <c r="U196" i="8"/>
  <c r="AC155" i="8"/>
  <c r="AZ130" i="5"/>
  <c r="X58" i="8"/>
  <c r="AV58" i="8" s="1"/>
  <c r="AU25" i="5"/>
  <c r="AH197" i="8"/>
  <c r="AT197" i="8" s="1"/>
  <c r="J197" i="8" s="1"/>
  <c r="AT175" i="5"/>
  <c r="W21" i="8"/>
  <c r="AT205" i="5"/>
  <c r="AL34" i="2"/>
  <c r="AP46" i="5"/>
  <c r="AD77" i="8"/>
  <c r="AY33" i="8"/>
  <c r="U317" i="8"/>
  <c r="AR315" i="5"/>
  <c r="AC76" i="2"/>
  <c r="S116" i="8"/>
  <c r="AP87" i="5"/>
  <c r="AO48" i="8"/>
  <c r="BA13" i="5"/>
  <c r="AC263" i="8"/>
  <c r="AZ253" i="5"/>
  <c r="AX254" i="5"/>
  <c r="AA26" i="8"/>
  <c r="BA232" i="5"/>
  <c r="AO244" i="8"/>
  <c r="BA195" i="5"/>
  <c r="AO214" i="8"/>
  <c r="BA214" i="8" s="1"/>
  <c r="Q214" i="8" s="1"/>
  <c r="X160" i="8"/>
  <c r="AV160" i="8" s="1"/>
  <c r="AU135" i="5"/>
  <c r="Y128" i="8"/>
  <c r="AV99" i="5"/>
  <c r="W53" i="8"/>
  <c r="AT18" i="5"/>
  <c r="AX248" i="5"/>
  <c r="AA25" i="8"/>
  <c r="R47" i="8"/>
  <c r="AN11" i="5"/>
  <c r="AO110" i="8"/>
  <c r="BA81" i="5"/>
  <c r="W83" i="8"/>
  <c r="AU83" i="8" s="1"/>
  <c r="AT54" i="5"/>
  <c r="AT5" i="5"/>
  <c r="W2" i="8"/>
  <c r="R188" i="8"/>
  <c r="AN165" i="5"/>
  <c r="AW410" i="5"/>
  <c r="AK401" i="8"/>
  <c r="AW401" i="8" s="1"/>
  <c r="AO241" i="8"/>
  <c r="BA229" i="5"/>
  <c r="R173" i="8"/>
  <c r="AN149" i="5"/>
  <c r="AN376" i="5"/>
  <c r="AB372" i="8"/>
  <c r="AY376" i="5"/>
  <c r="AV151" i="8"/>
  <c r="AC170" i="8"/>
  <c r="AZ145" i="5"/>
  <c r="X63" i="8"/>
  <c r="AU32" i="5"/>
  <c r="Y319" i="8"/>
  <c r="AV317" i="5"/>
  <c r="AX80" i="5"/>
  <c r="AA109" i="8"/>
  <c r="AR77" i="5"/>
  <c r="AF106" i="8"/>
  <c r="AR106" i="8" s="1"/>
  <c r="H106" i="8" s="1"/>
  <c r="AN281" i="5"/>
  <c r="Y367" i="8"/>
  <c r="AV369" i="5"/>
  <c r="AI284" i="8"/>
  <c r="AU276" i="5"/>
  <c r="Z104" i="8"/>
  <c r="AX104" i="8" s="1"/>
  <c r="AW75" i="5"/>
  <c r="AX222" i="8"/>
  <c r="N222" i="8" s="1"/>
  <c r="AC76" i="8"/>
  <c r="AZ45" i="5"/>
  <c r="X208" i="8"/>
  <c r="AU188" i="5"/>
  <c r="U30" i="8"/>
  <c r="AR325" i="5"/>
  <c r="Y168" i="8"/>
  <c r="AV143" i="5"/>
  <c r="AN147" i="5"/>
  <c r="AW272" i="8"/>
  <c r="M272" i="8" s="1"/>
  <c r="Y57" i="8"/>
  <c r="AV24" i="5"/>
  <c r="Y398" i="8"/>
  <c r="AV406" i="5"/>
  <c r="AL44" i="2"/>
  <c r="AT28" i="5"/>
  <c r="W4" i="8"/>
  <c r="AU4" i="8" s="1"/>
  <c r="U35" i="8"/>
  <c r="AR374" i="5"/>
  <c r="V362" i="8"/>
  <c r="AT362" i="8" s="1"/>
  <c r="AS364" i="5"/>
  <c r="Y26" i="8"/>
  <c r="AV254" i="5"/>
  <c r="AC399" i="8"/>
  <c r="AZ408" i="5"/>
  <c r="AC204" i="8"/>
  <c r="AZ184" i="5"/>
  <c r="W180" i="8"/>
  <c r="AT156" i="5"/>
  <c r="AN116" i="5"/>
  <c r="R144" i="8"/>
  <c r="AP144" i="8" s="1"/>
  <c r="AX230" i="5"/>
  <c r="AA242" i="8"/>
  <c r="AX240" i="5"/>
  <c r="R142" i="8"/>
  <c r="AN114" i="5"/>
  <c r="AW107" i="5"/>
  <c r="Z136" i="8"/>
  <c r="S183" i="8"/>
  <c r="AP160" i="5"/>
  <c r="BA38" i="5"/>
  <c r="AO69" i="8"/>
  <c r="AS86" i="2"/>
  <c r="W175" i="8"/>
  <c r="AT151" i="5"/>
  <c r="W99" i="8"/>
  <c r="AL16" i="2"/>
  <c r="AT70" i="5"/>
  <c r="W51" i="8"/>
  <c r="AT16" i="5"/>
  <c r="AL28" i="2"/>
  <c r="X254" i="8"/>
  <c r="AV254" i="8" s="1"/>
  <c r="AU243" i="5"/>
  <c r="AC18" i="2"/>
  <c r="AD101" i="8"/>
  <c r="AP101" i="8" s="1"/>
  <c r="AP72" i="5"/>
  <c r="Y186" i="8"/>
  <c r="AV163" i="5"/>
  <c r="AT416" i="5"/>
  <c r="AN416" i="5"/>
  <c r="AO8" i="8"/>
  <c r="BA8" i="8" s="1"/>
  <c r="BA113" i="5"/>
  <c r="AN329" i="5"/>
  <c r="AY329" i="5"/>
  <c r="AM330" i="8"/>
  <c r="AY330" i="8" s="1"/>
  <c r="O330" i="8" s="1"/>
  <c r="S207" i="8"/>
  <c r="AP187" i="5"/>
  <c r="AC217" i="8"/>
  <c r="AZ198" i="5"/>
  <c r="P119" i="8"/>
  <c r="AC337" i="8"/>
  <c r="AZ337" i="5"/>
  <c r="X32" i="8"/>
  <c r="AU351" i="5"/>
  <c r="AD61" i="2"/>
  <c r="AQ222" i="5"/>
  <c r="AE235" i="8"/>
  <c r="AN367" i="5"/>
  <c r="AB365" i="8"/>
  <c r="AY367" i="5"/>
  <c r="W205" i="8"/>
  <c r="AT185" i="5"/>
  <c r="R229" i="8"/>
  <c r="AN216" i="5"/>
  <c r="AA11" i="8"/>
  <c r="AX125" i="5"/>
  <c r="AA86" i="8"/>
  <c r="AX57" i="5"/>
  <c r="X251" i="8"/>
  <c r="AU239" i="5"/>
  <c r="AF61" i="2"/>
  <c r="AG61" i="2"/>
  <c r="AI61" i="2"/>
  <c r="AR222" i="5"/>
  <c r="AF235" i="8"/>
  <c r="AR235" i="8" s="1"/>
  <c r="H235" i="8" s="1"/>
  <c r="X323" i="8"/>
  <c r="AU321" i="5"/>
  <c r="AD302" i="8"/>
  <c r="AP302" i="8" s="1"/>
  <c r="AP295" i="5"/>
  <c r="AQ105" i="5"/>
  <c r="AE134" i="8"/>
  <c r="W341" i="8"/>
  <c r="AU341" i="8" s="1"/>
  <c r="AT341" i="5"/>
  <c r="AA174" i="5"/>
  <c r="R2" i="12"/>
  <c r="Z247" i="8"/>
  <c r="AW235" i="5"/>
  <c r="AF216" i="8"/>
  <c r="AR216" i="8" s="1"/>
  <c r="H216" i="8" s="1"/>
  <c r="AI30" i="2"/>
  <c r="AG30" i="2"/>
  <c r="AC95" i="8"/>
  <c r="AZ66" i="5"/>
  <c r="AC402" i="8"/>
  <c r="AZ411" i="5"/>
  <c r="I98" i="8"/>
  <c r="AN73" i="5"/>
  <c r="R102" i="8"/>
  <c r="AP102" i="8" s="1"/>
  <c r="AG43" i="2"/>
  <c r="AF43" i="2"/>
  <c r="AR218" i="5"/>
  <c r="AI43" i="2"/>
  <c r="AF231" i="8"/>
  <c r="AR231" i="8" s="1"/>
  <c r="H231" i="8" s="1"/>
  <c r="Y329" i="8"/>
  <c r="AV328" i="5"/>
  <c r="Y206" i="8"/>
  <c r="AV186" i="5"/>
  <c r="AX374" i="5"/>
  <c r="AA35" i="8"/>
  <c r="AN120" i="5"/>
  <c r="R148" i="8"/>
  <c r="AX112" i="5"/>
  <c r="AA141" i="8"/>
  <c r="AC77" i="2"/>
  <c r="AP88" i="5"/>
  <c r="S117" i="8"/>
  <c r="AX214" i="8"/>
  <c r="W336" i="8"/>
  <c r="AT336" i="5"/>
  <c r="R156" i="8"/>
  <c r="AN131" i="5"/>
  <c r="AT214" i="5"/>
  <c r="W22" i="8"/>
  <c r="U15" i="8"/>
  <c r="AS15" i="8" s="1"/>
  <c r="AR180" i="5"/>
  <c r="W251" i="8"/>
  <c r="AT239" i="5"/>
  <c r="S153" i="8"/>
  <c r="AP128" i="5"/>
  <c r="AO82" i="8"/>
  <c r="BA82" i="8" s="1"/>
  <c r="BA53" i="5"/>
  <c r="R76" i="8"/>
  <c r="AN45" i="5"/>
  <c r="AQ214" i="5"/>
  <c r="AE22" i="8"/>
  <c r="AQ22" i="8" s="1"/>
  <c r="Y146" i="8"/>
  <c r="AV118" i="5"/>
  <c r="L75" i="8"/>
  <c r="X76" i="8"/>
  <c r="AU45" i="5"/>
  <c r="Y185" i="8"/>
  <c r="AV162" i="5"/>
  <c r="AD59" i="8"/>
  <c r="AP26" i="5"/>
  <c r="AG307" i="8"/>
  <c r="AS305" i="5"/>
  <c r="AK46" i="2"/>
  <c r="W140" i="8"/>
  <c r="AT111" i="5"/>
  <c r="Y81" i="8"/>
  <c r="AV52" i="5"/>
  <c r="X355" i="8"/>
  <c r="AV355" i="8" s="1"/>
  <c r="AU356" i="5"/>
  <c r="W334" i="8"/>
  <c r="AT334" i="5"/>
  <c r="AS272" i="5"/>
  <c r="AG280" i="8"/>
  <c r="AS280" i="8" s="1"/>
  <c r="Y393" i="8"/>
  <c r="AV400" i="5"/>
  <c r="U354" i="8"/>
  <c r="AR355" i="5"/>
  <c r="U358" i="8"/>
  <c r="AS358" i="8" s="1"/>
  <c r="AR359" i="5"/>
  <c r="R257" i="8"/>
  <c r="AN246" i="5"/>
  <c r="Z375" i="8"/>
  <c r="AW379" i="5"/>
  <c r="X371" i="8"/>
  <c r="AV371" i="8" s="1"/>
  <c r="AU375" i="5"/>
  <c r="Y183" i="8"/>
  <c r="AV160" i="5"/>
  <c r="AN161" i="5"/>
  <c r="R184" i="8"/>
  <c r="X188" i="8"/>
  <c r="AU165" i="5"/>
  <c r="AX105" i="8"/>
  <c r="AX280" i="5"/>
  <c r="AA287" i="8"/>
  <c r="AA52" i="8"/>
  <c r="AX17" i="5"/>
  <c r="X116" i="8"/>
  <c r="AV116" i="8" s="1"/>
  <c r="AU87" i="5"/>
  <c r="X337" i="8"/>
  <c r="AU337" i="5"/>
  <c r="Z33" i="8"/>
  <c r="AX33" i="8" s="1"/>
  <c r="AW362" i="5"/>
  <c r="Z34" i="8"/>
  <c r="AW370" i="5"/>
  <c r="AD325" i="8"/>
  <c r="AP325" i="8" s="1"/>
  <c r="F325" i="8" s="1"/>
  <c r="AP323" i="5"/>
  <c r="AR121" i="5"/>
  <c r="AF149" i="8"/>
  <c r="AR149" i="8" s="1"/>
  <c r="H149" i="8" s="1"/>
  <c r="AC5" i="8"/>
  <c r="AZ31" i="5"/>
  <c r="AT394" i="5"/>
  <c r="AH387" i="8"/>
  <c r="AT387" i="8" s="1"/>
  <c r="J387" i="8" s="1"/>
  <c r="AN394" i="5"/>
  <c r="AN235" i="5"/>
  <c r="AB247" i="8"/>
  <c r="AZ247" i="8" s="1"/>
  <c r="AY235" i="5"/>
  <c r="Y64" i="8"/>
  <c r="AW64" i="8" s="1"/>
  <c r="AV33" i="5"/>
  <c r="Y217" i="8"/>
  <c r="AV198" i="5"/>
  <c r="AC358" i="8"/>
  <c r="AZ359" i="5"/>
  <c r="AU141" i="5"/>
  <c r="X166" i="8"/>
  <c r="AC282" i="8"/>
  <c r="AZ274" i="5"/>
  <c r="AF60" i="2"/>
  <c r="U306" i="8"/>
  <c r="AR304" i="5"/>
  <c r="Q309" i="8"/>
  <c r="X234" i="8"/>
  <c r="AV234" i="8" s="1"/>
  <c r="AU221" i="5"/>
  <c r="Y150" i="8"/>
  <c r="AV122" i="5"/>
  <c r="F116" i="8"/>
  <c r="X243" i="8"/>
  <c r="AU231" i="5"/>
  <c r="AN373" i="5"/>
  <c r="AB370" i="8"/>
  <c r="AY373" i="5"/>
  <c r="BA381" i="5"/>
  <c r="AO377" i="8"/>
  <c r="AX369" i="5"/>
  <c r="AA367" i="8"/>
  <c r="AY367" i="8" s="1"/>
  <c r="AC372" i="8"/>
  <c r="AZ376" i="5"/>
  <c r="W48" i="8"/>
  <c r="AT13" i="5"/>
  <c r="AO76" i="8"/>
  <c r="BA45" i="5"/>
  <c r="W86" i="8"/>
  <c r="AT57" i="5"/>
  <c r="AT115" i="5"/>
  <c r="W143" i="8"/>
  <c r="AU75" i="5"/>
  <c r="X104" i="8"/>
  <c r="AC300" i="8"/>
  <c r="AZ293" i="5"/>
  <c r="AE195" i="8"/>
  <c r="AQ173" i="5"/>
  <c r="X216" i="8"/>
  <c r="AV216" i="8" s="1"/>
  <c r="AU197" i="5"/>
  <c r="AP2" i="5"/>
  <c r="AD39" i="8"/>
  <c r="Z182" i="8"/>
  <c r="AX182" i="8" s="1"/>
  <c r="AW158" i="5"/>
  <c r="AR80" i="5"/>
  <c r="AF109" i="8"/>
  <c r="AR109" i="8" s="1"/>
  <c r="H109" i="8" s="1"/>
  <c r="AG313" i="8"/>
  <c r="AS311" i="5"/>
  <c r="Z47" i="8"/>
  <c r="AX47" i="8" s="1"/>
  <c r="AW11" i="5"/>
  <c r="Z242" i="8"/>
  <c r="AW230" i="5"/>
  <c r="AP374" i="5"/>
  <c r="AD35" i="8"/>
  <c r="AP35" i="8" s="1"/>
  <c r="F35" i="8" s="1"/>
  <c r="AA240" i="8"/>
  <c r="AX227" i="5"/>
  <c r="Y192" i="8"/>
  <c r="AV169" i="5"/>
  <c r="Y135" i="8"/>
  <c r="AV106" i="5"/>
  <c r="AA62" i="8"/>
  <c r="AX30" i="5"/>
  <c r="T254" i="5"/>
  <c r="M2" i="12"/>
  <c r="AA183" i="8"/>
  <c r="AX160" i="5"/>
  <c r="AA56" i="8"/>
  <c r="E23" i="3"/>
  <c r="AX23" i="5"/>
  <c r="AC74" i="8"/>
  <c r="AZ43" i="5"/>
  <c r="Y327" i="8"/>
  <c r="AV326" i="5"/>
  <c r="S108" i="8"/>
  <c r="AP79" i="5"/>
  <c r="AI20" i="2"/>
  <c r="AF20" i="2"/>
  <c r="AG20" i="2"/>
  <c r="AR73" i="5"/>
  <c r="AF102" i="8"/>
  <c r="AR102" i="8" s="1"/>
  <c r="H102" i="8" s="1"/>
  <c r="AC392" i="8"/>
  <c r="AZ399" i="5"/>
  <c r="AC110" i="8"/>
  <c r="AZ81" i="5"/>
  <c r="AU222" i="8"/>
  <c r="K222" i="8" s="1"/>
  <c r="AP285" i="5"/>
  <c r="AD292" i="8"/>
  <c r="AP292" i="8" s="1"/>
  <c r="F292" i="8" s="1"/>
  <c r="R294" i="8"/>
  <c r="AN287" i="5"/>
  <c r="AG12" i="8"/>
  <c r="AS148" i="5"/>
  <c r="AN71" i="5"/>
  <c r="R100" i="8"/>
  <c r="AP246" i="5"/>
  <c r="AD257" i="8"/>
  <c r="W367" i="8"/>
  <c r="AU367" i="8" s="1"/>
  <c r="AT369" i="5"/>
  <c r="AO291" i="8"/>
  <c r="BA284" i="5"/>
  <c r="AV9" i="8"/>
  <c r="AO296" i="8"/>
  <c r="BA289" i="5"/>
  <c r="AW79" i="5"/>
  <c r="Z108" i="8"/>
  <c r="AC30" i="8"/>
  <c r="AZ325" i="5"/>
  <c r="AA290" i="8"/>
  <c r="AX283" i="5"/>
  <c r="U23" i="8"/>
  <c r="AF42" i="2"/>
  <c r="AR215" i="5"/>
  <c r="AA186" i="8"/>
  <c r="AX163" i="5"/>
  <c r="AY145" i="8"/>
  <c r="O145" i="8" s="1"/>
  <c r="W80" i="8"/>
  <c r="AT51" i="5"/>
  <c r="AL15" i="2"/>
  <c r="AN290" i="5"/>
  <c r="AB297" i="8"/>
  <c r="AZ297" i="8" s="1"/>
  <c r="AY290" i="5"/>
  <c r="AX124" i="8"/>
  <c r="F315" i="8"/>
  <c r="E10" i="3"/>
  <c r="AL304" i="8"/>
  <c r="AX304" i="8" s="1"/>
  <c r="N304" i="8" s="1"/>
  <c r="AX298" i="5"/>
  <c r="BA189" i="5"/>
  <c r="AO209" i="8"/>
  <c r="AQ270" i="5"/>
  <c r="AE278" i="8"/>
  <c r="AO95" i="8"/>
  <c r="BA66" i="5"/>
  <c r="AO280" i="8"/>
  <c r="BA272" i="5"/>
  <c r="W78" i="8"/>
  <c r="AT47" i="5"/>
  <c r="R274" i="8"/>
  <c r="AN266" i="5"/>
  <c r="U9" i="8"/>
  <c r="AR123" i="5"/>
  <c r="Y180" i="8"/>
  <c r="AV156" i="5"/>
  <c r="L255" i="8"/>
  <c r="U207" i="8"/>
  <c r="AR187" i="5"/>
  <c r="Y369" i="8"/>
  <c r="AV372" i="5"/>
  <c r="AD58" i="2"/>
  <c r="AE242" i="8"/>
  <c r="AQ230" i="5"/>
  <c r="AC137" i="8"/>
  <c r="AZ108" i="5"/>
  <c r="Z231" i="8"/>
  <c r="AX231" i="8" s="1"/>
  <c r="AW218" i="5"/>
  <c r="AW152" i="5"/>
  <c r="AZ353" i="5"/>
  <c r="AN37" i="5"/>
  <c r="AT93" i="5"/>
  <c r="AR29" i="5"/>
  <c r="AT216" i="5"/>
  <c r="E37" i="3"/>
  <c r="AP152" i="5"/>
  <c r="AZ199" i="5"/>
  <c r="AZ165" i="5"/>
  <c r="M266" i="8"/>
  <c r="E7" i="13"/>
  <c r="AP15" i="5"/>
  <c r="AU127" i="8"/>
  <c r="K127" i="8" s="1"/>
  <c r="AX126" i="5"/>
  <c r="AW29" i="8"/>
  <c r="M29" i="8" s="1"/>
  <c r="AY379" i="8"/>
  <c r="O379" i="8" s="1"/>
  <c r="K343" i="8"/>
  <c r="K176" i="8"/>
  <c r="M204" i="8"/>
  <c r="AT210" i="5"/>
  <c r="AW213" i="8"/>
  <c r="M213" i="8" s="1"/>
  <c r="O364" i="8"/>
  <c r="AX97" i="5"/>
  <c r="N64" i="8"/>
  <c r="Q249" i="8"/>
  <c r="N308" i="8"/>
  <c r="W174" i="8"/>
  <c r="AT150" i="5"/>
  <c r="W361" i="8"/>
  <c r="AT363" i="5"/>
  <c r="Z244" i="8"/>
  <c r="AX244" i="8" s="1"/>
  <c r="AW232" i="5"/>
  <c r="AF193" i="8"/>
  <c r="AR193" i="8" s="1"/>
  <c r="H193" i="8" s="1"/>
  <c r="AR170" i="5"/>
  <c r="AC284" i="8"/>
  <c r="AZ276" i="5"/>
  <c r="R83" i="8"/>
  <c r="AN54" i="5"/>
  <c r="AP276" i="8"/>
  <c r="AF227" i="8"/>
  <c r="AR227" i="8" s="1"/>
  <c r="H227" i="8" s="1"/>
  <c r="AR212" i="5"/>
  <c r="F369" i="8"/>
  <c r="AC183" i="8"/>
  <c r="AZ160" i="5"/>
  <c r="R79" i="8"/>
  <c r="AN50" i="5"/>
  <c r="X224" i="8"/>
  <c r="AU209" i="5"/>
  <c r="AC171" i="8"/>
  <c r="AZ146" i="5"/>
  <c r="AL57" i="2"/>
  <c r="W295" i="8"/>
  <c r="AT288" i="5"/>
  <c r="AP80" i="5"/>
  <c r="AD109" i="8"/>
  <c r="AP109" i="8" s="1"/>
  <c r="F109" i="8" s="1"/>
  <c r="AO225" i="8"/>
  <c r="BA210" i="5"/>
  <c r="AN315" i="5"/>
  <c r="AY315" i="5"/>
  <c r="AM317" i="8"/>
  <c r="AY317" i="8" s="1"/>
  <c r="O317" i="8" s="1"/>
  <c r="X362" i="8"/>
  <c r="AU364" i="5"/>
  <c r="AV11" i="5"/>
  <c r="Y47" i="8"/>
  <c r="AZ287" i="5"/>
  <c r="AC294" i="8"/>
  <c r="AC243" i="8"/>
  <c r="AZ231" i="5"/>
  <c r="AX77" i="5"/>
  <c r="AL106" i="8"/>
  <c r="AD107" i="8"/>
  <c r="AP107" i="8" s="1"/>
  <c r="F107" i="8" s="1"/>
  <c r="AN78" i="5"/>
  <c r="AP317" i="5"/>
  <c r="AD319" i="8"/>
  <c r="AP319" i="8" s="1"/>
  <c r="F319" i="8" s="1"/>
  <c r="E25" i="3"/>
  <c r="AX100" i="5"/>
  <c r="AA129" i="8"/>
  <c r="W39" i="8"/>
  <c r="AT2" i="5"/>
  <c r="X280" i="8"/>
  <c r="AV280" i="8" s="1"/>
  <c r="AU272" i="5"/>
  <c r="AQ103" i="5"/>
  <c r="AE132" i="8"/>
  <c r="AC24" i="2"/>
  <c r="AP85" i="5"/>
  <c r="AD114" i="8"/>
  <c r="AP114" i="8" s="1"/>
  <c r="X265" i="8"/>
  <c r="AU256" i="5"/>
  <c r="Y280" i="8"/>
  <c r="AV272" i="5"/>
  <c r="AU303" i="5"/>
  <c r="X305" i="8"/>
  <c r="S154" i="8"/>
  <c r="AP129" i="5"/>
  <c r="AX373" i="5"/>
  <c r="AA370" i="8"/>
  <c r="AY370" i="8" s="1"/>
  <c r="M116" i="8"/>
  <c r="AC51" i="2"/>
  <c r="AP362" i="5"/>
  <c r="AD33" i="8"/>
  <c r="AP33" i="8" s="1"/>
  <c r="F33" i="8" s="1"/>
  <c r="AD357" i="8"/>
  <c r="AP357" i="8" s="1"/>
  <c r="F357" i="8" s="1"/>
  <c r="AP358" i="5"/>
  <c r="AS337" i="5"/>
  <c r="AG337" i="8"/>
  <c r="AN328" i="5"/>
  <c r="AY328" i="5"/>
  <c r="AM329" i="8"/>
  <c r="AY329" i="8" s="1"/>
  <c r="O329" i="8" s="1"/>
  <c r="AF243" i="8"/>
  <c r="AR243" i="8" s="1"/>
  <c r="H243" i="8" s="1"/>
  <c r="AR231" i="5"/>
  <c r="AC27" i="2"/>
  <c r="AD184" i="8"/>
  <c r="AP161" i="5"/>
  <c r="Y162" i="8"/>
  <c r="AW162" i="8" s="1"/>
  <c r="AV137" i="5"/>
  <c r="AA65" i="8"/>
  <c r="AX34" i="5"/>
  <c r="AG133" i="5"/>
  <c r="V2" i="12"/>
  <c r="Z191" i="8"/>
  <c r="AW168" i="5"/>
  <c r="AX230" i="8"/>
  <c r="AU220" i="5"/>
  <c r="X233" i="8"/>
  <c r="AV233" i="8" s="1"/>
  <c r="BA203" i="5"/>
  <c r="AO19" i="8"/>
  <c r="AW84" i="5"/>
  <c r="Z113" i="8"/>
  <c r="AR278" i="5"/>
  <c r="AF286" i="8"/>
  <c r="AR286" i="8" s="1"/>
  <c r="H286" i="8" s="1"/>
  <c r="AR162" i="5"/>
  <c r="AF185" i="8"/>
  <c r="AR185" i="8" s="1"/>
  <c r="H185" i="8" s="1"/>
  <c r="AC11" i="8"/>
  <c r="AZ125" i="5"/>
  <c r="W281" i="8"/>
  <c r="AT273" i="5"/>
  <c r="AP275" i="5"/>
  <c r="AD283" i="8"/>
  <c r="AP283" i="8" s="1"/>
  <c r="F283" i="8" s="1"/>
  <c r="AS165" i="5"/>
  <c r="AG188" i="8"/>
  <c r="AS188" i="8" s="1"/>
  <c r="I188" i="8" s="1"/>
  <c r="AN52" i="5"/>
  <c r="AZ21" i="8"/>
  <c r="AK400" i="8"/>
  <c r="AW409" i="5"/>
  <c r="AF62" i="2"/>
  <c r="U316" i="8"/>
  <c r="AR314" i="5"/>
  <c r="AW167" i="5"/>
  <c r="Z190" i="8"/>
  <c r="BA64" i="5"/>
  <c r="AO93" i="8"/>
  <c r="AX242" i="5"/>
  <c r="AA253" i="8"/>
  <c r="AE205" i="8"/>
  <c r="AQ185" i="5"/>
  <c r="S279" i="8"/>
  <c r="AP271" i="5"/>
  <c r="AO114" i="8"/>
  <c r="BA85" i="5"/>
  <c r="W260" i="8"/>
  <c r="AT250" i="5"/>
  <c r="R80" i="8"/>
  <c r="AN51" i="5"/>
  <c r="AD287" i="8"/>
  <c r="AP280" i="5"/>
  <c r="BA230" i="5"/>
  <c r="AO242" i="8"/>
  <c r="AN374" i="5"/>
  <c r="AB35" i="8"/>
  <c r="AY374" i="5"/>
  <c r="AT354" i="8"/>
  <c r="W223" i="8"/>
  <c r="AT208" i="5"/>
  <c r="W331" i="8"/>
  <c r="AU331" i="8" s="1"/>
  <c r="AT330" i="5"/>
  <c r="AE201" i="8"/>
  <c r="AQ201" i="8" s="1"/>
  <c r="AQ179" i="5"/>
  <c r="AR135" i="5"/>
  <c r="AF160" i="8"/>
  <c r="AR160" i="8" s="1"/>
  <c r="H160" i="8" s="1"/>
  <c r="AN106" i="5"/>
  <c r="R135" i="8"/>
  <c r="AP135" i="8" s="1"/>
  <c r="W63" i="8"/>
  <c r="AT32" i="5"/>
  <c r="Y315" i="8"/>
  <c r="AV313" i="5"/>
  <c r="AA97" i="8"/>
  <c r="AX68" i="5"/>
  <c r="AU324" i="8"/>
  <c r="AG56" i="2"/>
  <c r="AI56" i="2"/>
  <c r="AF56" i="2"/>
  <c r="AR78" i="5"/>
  <c r="AF107" i="8"/>
  <c r="AR107" i="8" s="1"/>
  <c r="H107" i="8" s="1"/>
  <c r="AD267" i="8"/>
  <c r="AP258" i="5"/>
  <c r="Y351" i="8"/>
  <c r="AV352" i="5"/>
  <c r="AU121" i="5"/>
  <c r="AI149" i="8"/>
  <c r="AU149" i="8" s="1"/>
  <c r="Z45" i="8"/>
  <c r="AW9" i="5"/>
  <c r="AC121" i="8"/>
  <c r="AZ92" i="5"/>
  <c r="AC41" i="8"/>
  <c r="AZ4" i="5"/>
  <c r="V98" i="8"/>
  <c r="AS69" i="5"/>
  <c r="AK17" i="2"/>
  <c r="F140" i="8"/>
  <c r="U61" i="5"/>
  <c r="N2" i="12"/>
  <c r="U330" i="8"/>
  <c r="AR329" i="5"/>
  <c r="Y129" i="8"/>
  <c r="AV100" i="5"/>
  <c r="Y58" i="8"/>
  <c r="AV25" i="5"/>
  <c r="Y390" i="8"/>
  <c r="AV397" i="5"/>
  <c r="Y335" i="8"/>
  <c r="AV335" i="5"/>
  <c r="L120" i="8"/>
  <c r="F207" i="8"/>
  <c r="AF67" i="2"/>
  <c r="U374" i="8"/>
  <c r="AR378" i="5"/>
  <c r="V365" i="8"/>
  <c r="AT365" i="8" s="1"/>
  <c r="AS367" i="5"/>
  <c r="P120" i="8"/>
  <c r="Y161" i="8"/>
  <c r="AV136" i="5"/>
  <c r="AQ184" i="5"/>
  <c r="AE204" i="8"/>
  <c r="AE164" i="8"/>
  <c r="AQ139" i="5"/>
  <c r="AX47" i="5"/>
  <c r="AA78" i="8"/>
  <c r="AX169" i="5"/>
  <c r="AA192" i="8"/>
  <c r="AC276" i="8"/>
  <c r="AZ268" i="5"/>
  <c r="Z137" i="8"/>
  <c r="AX137" i="8" s="1"/>
  <c r="AW108" i="5"/>
  <c r="AO73" i="8"/>
  <c r="BA42" i="5"/>
  <c r="W92" i="8"/>
  <c r="AT63" i="5"/>
  <c r="W93" i="8"/>
  <c r="AT64" i="5"/>
  <c r="X99" i="8"/>
  <c r="AU70" i="5"/>
  <c r="AR92" i="2"/>
  <c r="Y200" i="8"/>
  <c r="AV178" i="5"/>
  <c r="AH392" i="8"/>
  <c r="AT392" i="8" s="1"/>
  <c r="J392" i="8" s="1"/>
  <c r="AT399" i="5"/>
  <c r="AN399" i="5"/>
  <c r="AO67" i="8"/>
  <c r="BA36" i="5"/>
  <c r="AY305" i="5"/>
  <c r="AM307" i="8"/>
  <c r="AY307" i="8" s="1"/>
  <c r="O307" i="8" s="1"/>
  <c r="AN305" i="5"/>
  <c r="S132" i="8"/>
  <c r="AP103" i="5"/>
  <c r="AC209" i="8"/>
  <c r="AZ189" i="5"/>
  <c r="AV21" i="8"/>
  <c r="L21" i="8" s="1"/>
  <c r="U28" i="8"/>
  <c r="AR279" i="5"/>
  <c r="AS363" i="8"/>
  <c r="AC339" i="8"/>
  <c r="AZ339" i="5"/>
  <c r="X322" i="8"/>
  <c r="AV322" i="8" s="1"/>
  <c r="AU320" i="5"/>
  <c r="AN365" i="5"/>
  <c r="AB363" i="8"/>
  <c r="AY365" i="5"/>
  <c r="W15" i="8"/>
  <c r="AT180" i="5"/>
  <c r="M210" i="8"/>
  <c r="AN29" i="8"/>
  <c r="AZ29" i="8" s="1"/>
  <c r="P29" i="8" s="1"/>
  <c r="AZ296" i="5"/>
  <c r="AT164" i="5"/>
  <c r="W187" i="8"/>
  <c r="AQ128" i="5"/>
  <c r="AE153" i="8"/>
  <c r="AD122" i="8"/>
  <c r="AP122" i="8" s="1"/>
  <c r="F122" i="8" s="1"/>
  <c r="AP93" i="5"/>
  <c r="AA81" i="8"/>
  <c r="AX52" i="5"/>
  <c r="AK67" i="2"/>
  <c r="V374" i="8"/>
  <c r="AS378" i="5"/>
  <c r="AN240" i="5"/>
  <c r="X350" i="8"/>
  <c r="AU350" i="5"/>
  <c r="AD298" i="8"/>
  <c r="AP298" i="8" s="1"/>
  <c r="F298" i="8" s="1"/>
  <c r="AP291" i="5"/>
  <c r="AZ288" i="8"/>
  <c r="P288" i="8" s="1"/>
  <c r="AZ240" i="5"/>
  <c r="W327" i="8"/>
  <c r="AT326" i="5"/>
  <c r="AS187" i="5"/>
  <c r="AG207" i="8"/>
  <c r="Z186" i="8"/>
  <c r="AX186" i="8" s="1"/>
  <c r="AW163" i="5"/>
  <c r="AR198" i="5"/>
  <c r="AF217" i="8"/>
  <c r="AR217" i="8" s="1"/>
  <c r="H217" i="8" s="1"/>
  <c r="AC401" i="8"/>
  <c r="AZ410" i="5"/>
  <c r="BD92" i="2"/>
  <c r="AZ81" i="8"/>
  <c r="P81" i="8" s="1"/>
  <c r="V222" i="8"/>
  <c r="AK37" i="2"/>
  <c r="AS207" i="5"/>
  <c r="AW287" i="5"/>
  <c r="Z294" i="8"/>
  <c r="AX294" i="8" s="1"/>
  <c r="AF171" i="8"/>
  <c r="AR171" i="8" s="1"/>
  <c r="H171" i="8" s="1"/>
  <c r="AR146" i="5"/>
  <c r="Y30" i="8"/>
  <c r="AV325" i="5"/>
  <c r="Y223" i="8"/>
  <c r="AV208" i="5"/>
  <c r="AX377" i="5"/>
  <c r="AA373" i="8"/>
  <c r="AO259" i="8"/>
  <c r="BA259" i="8" s="1"/>
  <c r="BA249" i="5"/>
  <c r="W213" i="8"/>
  <c r="AT194" i="5"/>
  <c r="AX127" i="5"/>
  <c r="AA152" i="8"/>
  <c r="AN220" i="5"/>
  <c r="AB233" i="8"/>
  <c r="AY220" i="5"/>
  <c r="W318" i="8"/>
  <c r="AU318" i="8" s="1"/>
  <c r="AT316" i="5"/>
  <c r="F117" i="8"/>
  <c r="W183" i="8"/>
  <c r="AT160" i="5"/>
  <c r="U203" i="8"/>
  <c r="AR182" i="5"/>
  <c r="AZ211" i="8"/>
  <c r="S137" i="8"/>
  <c r="AP108" i="5"/>
  <c r="BA30" i="5"/>
  <c r="AO62" i="8"/>
  <c r="K84" i="8"/>
  <c r="F2" i="8"/>
  <c r="AE227" i="8"/>
  <c r="AQ212" i="5"/>
  <c r="Y72" i="8"/>
  <c r="AV41" i="5"/>
  <c r="AC32" i="2"/>
  <c r="AP203" i="5"/>
  <c r="AD19" i="8"/>
  <c r="AP19" i="8" s="1"/>
  <c r="F19" i="8" s="1"/>
  <c r="AU12" i="5"/>
  <c r="X3" i="8"/>
  <c r="AV3" i="8" s="1"/>
  <c r="Y127" i="8"/>
  <c r="AV98" i="5"/>
  <c r="AD58" i="8"/>
  <c r="AP58" i="8" s="1"/>
  <c r="AP25" i="5"/>
  <c r="W139" i="8"/>
  <c r="AT110" i="5"/>
  <c r="X358" i="8"/>
  <c r="AU359" i="5"/>
  <c r="W329" i="8"/>
  <c r="AU329" i="8" s="1"/>
  <c r="AT328" i="5"/>
  <c r="AG202" i="8"/>
  <c r="AS181" i="5"/>
  <c r="Y303" i="8"/>
  <c r="AV297" i="5"/>
  <c r="U311" i="8"/>
  <c r="AR309" i="5"/>
  <c r="U361" i="8"/>
  <c r="AR363" i="5"/>
  <c r="U355" i="8"/>
  <c r="AR356" i="5"/>
  <c r="Z372" i="8"/>
  <c r="AX372" i="8" s="1"/>
  <c r="AW376" i="5"/>
  <c r="AQ136" i="8"/>
  <c r="G136" i="8" s="1"/>
  <c r="X373" i="8"/>
  <c r="AV373" i="8" s="1"/>
  <c r="AU377" i="5"/>
  <c r="Y354" i="8"/>
  <c r="AV355" i="5"/>
  <c r="AX27" i="8"/>
  <c r="X237" i="8"/>
  <c r="AU224" i="5"/>
  <c r="AN117" i="5"/>
  <c r="R145" i="8"/>
  <c r="Y145" i="8"/>
  <c r="AV117" i="5"/>
  <c r="AA299" i="8"/>
  <c r="AX292" i="5"/>
  <c r="E26" i="3"/>
  <c r="AX16" i="5"/>
  <c r="AA51" i="8"/>
  <c r="AO277" i="8"/>
  <c r="BA269" i="5"/>
  <c r="X339" i="8"/>
  <c r="AV339" i="8" s="1"/>
  <c r="AU339" i="5"/>
  <c r="AD329" i="8"/>
  <c r="AP329" i="8" s="1"/>
  <c r="F329" i="8" s="1"/>
  <c r="AP328" i="5"/>
  <c r="AW82" i="5"/>
  <c r="Z111" i="8"/>
  <c r="AX111" i="8" s="1"/>
  <c r="N221" i="8"/>
  <c r="AR47" i="5"/>
  <c r="AF78" i="8"/>
  <c r="AR78" i="8" s="1"/>
  <c r="H78" i="8" s="1"/>
  <c r="BA373" i="5"/>
  <c r="AO370" i="8"/>
  <c r="BA370" i="8" s="1"/>
  <c r="AH390" i="8"/>
  <c r="AT390" i="8" s="1"/>
  <c r="J390" i="8" s="1"/>
  <c r="AT397" i="5"/>
  <c r="AN397" i="5"/>
  <c r="AH402" i="8"/>
  <c r="AT402" i="8" s="1"/>
  <c r="J402" i="8" s="1"/>
  <c r="AT411" i="5"/>
  <c r="AN411" i="5"/>
  <c r="Y5" i="8"/>
  <c r="AV31" i="5"/>
  <c r="Y209" i="8"/>
  <c r="AV189" i="5"/>
  <c r="AP88" i="8"/>
  <c r="F88" i="8" s="1"/>
  <c r="AC354" i="8"/>
  <c r="BA354" i="8" s="1"/>
  <c r="AZ355" i="5"/>
  <c r="AC359" i="8"/>
  <c r="AZ360" i="5"/>
  <c r="X60" i="8"/>
  <c r="AV60" i="8" s="1"/>
  <c r="AU27" i="5"/>
  <c r="AD335" i="8"/>
  <c r="AP335" i="8" s="1"/>
  <c r="F335" i="8" s="1"/>
  <c r="AP335" i="5"/>
  <c r="AC264" i="8"/>
  <c r="AZ255" i="5"/>
  <c r="AX354" i="5"/>
  <c r="AA353" i="8"/>
  <c r="AX289" i="5"/>
  <c r="AA296" i="8"/>
  <c r="AT140" i="5"/>
  <c r="W165" i="8"/>
  <c r="BA134" i="5"/>
  <c r="AO159" i="8"/>
  <c r="AD100" i="8"/>
  <c r="AP71" i="5"/>
  <c r="W40" i="8"/>
  <c r="AT3" i="5"/>
  <c r="AN87" i="5"/>
  <c r="X8" i="8"/>
  <c r="AU113" i="5"/>
  <c r="AN370" i="5"/>
  <c r="AB34" i="8"/>
  <c r="AY370" i="5"/>
  <c r="AN363" i="5"/>
  <c r="AB361" i="8"/>
  <c r="AY363" i="5"/>
  <c r="BA383" i="5"/>
  <c r="AO379" i="8"/>
  <c r="BA379" i="8" s="1"/>
  <c r="AA365" i="8"/>
  <c r="AY365" i="8" s="1"/>
  <c r="AX367" i="5"/>
  <c r="BA12" i="5"/>
  <c r="AO3" i="8"/>
  <c r="AT58" i="5"/>
  <c r="AL12" i="2"/>
  <c r="W87" i="8"/>
  <c r="W112" i="8"/>
  <c r="AU112" i="8" s="1"/>
  <c r="AT83" i="5"/>
  <c r="X45" i="8"/>
  <c r="AU9" i="5"/>
  <c r="AC18" i="8"/>
  <c r="AZ200" i="5"/>
  <c r="X213" i="8"/>
  <c r="AU194" i="5"/>
  <c r="AX92" i="2"/>
  <c r="AD11" i="8"/>
  <c r="AP11" i="8" s="1"/>
  <c r="AP125" i="5"/>
  <c r="Z224" i="8"/>
  <c r="AW209" i="5"/>
  <c r="AG40" i="2"/>
  <c r="AF40" i="2"/>
  <c r="AI40" i="2"/>
  <c r="AR6" i="5"/>
  <c r="AF42" i="8"/>
  <c r="AR42" i="8" s="1"/>
  <c r="H42" i="8" s="1"/>
  <c r="U344" i="8"/>
  <c r="AR344" i="5"/>
  <c r="W348" i="8"/>
  <c r="AU348" i="8" s="1"/>
  <c r="AT348" i="5"/>
  <c r="Z170" i="8"/>
  <c r="AX170" i="8" s="1"/>
  <c r="AW145" i="5"/>
  <c r="AP377" i="5"/>
  <c r="AD373" i="8"/>
  <c r="AP373" i="8" s="1"/>
  <c r="F373" i="8" s="1"/>
  <c r="K172" i="8"/>
  <c r="AV379" i="8"/>
  <c r="W323" i="8"/>
  <c r="AU323" i="8" s="1"/>
  <c r="AT321" i="5"/>
  <c r="AP167" i="5"/>
  <c r="AD190" i="8"/>
  <c r="AO180" i="8"/>
  <c r="BA156" i="5"/>
  <c r="AX123" i="5"/>
  <c r="AA9" i="8"/>
  <c r="AA55" i="8"/>
  <c r="AX22" i="5"/>
  <c r="AC48" i="8"/>
  <c r="AZ13" i="5"/>
  <c r="BA116" i="8"/>
  <c r="Q116" i="8" s="1"/>
  <c r="Y341" i="8"/>
  <c r="AV341" i="5"/>
  <c r="S106" i="8"/>
  <c r="AP77" i="5"/>
  <c r="AD18" i="8"/>
  <c r="AP18" i="8" s="1"/>
  <c r="AP200" i="5"/>
  <c r="N175" i="8"/>
  <c r="AR178" i="5"/>
  <c r="AF200" i="8"/>
  <c r="AR200" i="8" s="1"/>
  <c r="H200" i="8" s="1"/>
  <c r="AC112" i="8"/>
  <c r="AZ83" i="5"/>
  <c r="AP284" i="5"/>
  <c r="AD291" i="8"/>
  <c r="AP291" i="8" s="1"/>
  <c r="F291" i="8" s="1"/>
  <c r="AN46" i="5"/>
  <c r="R77" i="8"/>
  <c r="AD25" i="8"/>
  <c r="AP248" i="5"/>
  <c r="W366" i="8"/>
  <c r="AT368" i="5"/>
  <c r="BA179" i="5"/>
  <c r="AO201" i="8"/>
  <c r="BA201" i="8" s="1"/>
  <c r="AO293" i="8"/>
  <c r="BA286" i="5"/>
  <c r="AW77" i="5"/>
  <c r="Z106" i="8"/>
  <c r="AC32" i="8"/>
  <c r="AZ351" i="5"/>
  <c r="L210" i="8"/>
  <c r="AT410" i="5"/>
  <c r="AH401" i="8"/>
  <c r="AT401" i="8" s="1"/>
  <c r="J401" i="8" s="1"/>
  <c r="AN410" i="5"/>
  <c r="AF267" i="8"/>
  <c r="AR267" i="8" s="1"/>
  <c r="H267" i="8" s="1"/>
  <c r="AR258" i="5"/>
  <c r="X174" i="8"/>
  <c r="AV174" i="8" s="1"/>
  <c r="AU150" i="5"/>
  <c r="AO124" i="8"/>
  <c r="BA95" i="5"/>
  <c r="AF40" i="8"/>
  <c r="AR40" i="8" s="1"/>
  <c r="H40" i="8" s="1"/>
  <c r="AR3" i="5"/>
  <c r="AX278" i="5"/>
  <c r="AA286" i="8"/>
  <c r="AO216" i="8"/>
  <c r="BA197" i="5"/>
  <c r="X349" i="8"/>
  <c r="AV349" i="8" s="1"/>
  <c r="AU349" i="5"/>
  <c r="AQ264" i="5"/>
  <c r="AE273" i="8"/>
  <c r="AQ273" i="8" s="1"/>
  <c r="AO123" i="8"/>
  <c r="BA94" i="5"/>
  <c r="Q172" i="8"/>
  <c r="K85" i="8"/>
  <c r="AW154" i="8"/>
  <c r="R244" i="8"/>
  <c r="AN232" i="5"/>
  <c r="AW75" i="8"/>
  <c r="M75" i="8" s="1"/>
  <c r="Y109" i="8"/>
  <c r="AV80" i="5"/>
  <c r="L133" i="5"/>
  <c r="H2" i="12"/>
  <c r="Y358" i="8"/>
  <c r="AV359" i="5"/>
  <c r="AC147" i="8"/>
  <c r="AZ119" i="5"/>
  <c r="Z133" i="8"/>
  <c r="AX133" i="8" s="1"/>
  <c r="AW104" i="5"/>
  <c r="N176" i="8"/>
  <c r="P221" i="8"/>
  <c r="Q352" i="8"/>
  <c r="AU122" i="8"/>
  <c r="K122" i="8" s="1"/>
  <c r="AU229" i="8"/>
  <c r="K229" i="8" s="1"/>
  <c r="AY88" i="8"/>
  <c r="O88" i="8" s="1"/>
  <c r="AN299" i="5"/>
  <c r="P286" i="8"/>
  <c r="G176" i="8"/>
  <c r="AN319" i="5"/>
  <c r="Q218" i="8"/>
  <c r="G50" i="8"/>
  <c r="AT181" i="5"/>
  <c r="AN139" i="5"/>
  <c r="AY354" i="5"/>
  <c r="AP116" i="5"/>
  <c r="AP383" i="8"/>
  <c r="F383" i="8" s="1"/>
  <c r="B383" i="8" s="1"/>
  <c r="AT148" i="5"/>
  <c r="AV349" i="5"/>
  <c r="K225" i="8"/>
  <c r="Q63" i="8"/>
  <c r="AZ363" i="5"/>
  <c r="AV94" i="5"/>
  <c r="AY239" i="8"/>
  <c r="O239" i="8" s="1"/>
  <c r="AX366" i="5"/>
  <c r="AZ15" i="5"/>
  <c r="AX35" i="5"/>
  <c r="U2" i="12"/>
  <c r="AU216" i="8"/>
  <c r="N120" i="8"/>
  <c r="AP370" i="5"/>
  <c r="AD34" i="8"/>
  <c r="AP34" i="8" s="1"/>
  <c r="F34" i="8" s="1"/>
  <c r="AN285" i="5"/>
  <c r="AB292" i="8"/>
  <c r="AZ292" i="8" s="1"/>
  <c r="AY285" i="5"/>
  <c r="AX196" i="5"/>
  <c r="AA215" i="8"/>
  <c r="AO195" i="8"/>
  <c r="BA173" i="5"/>
  <c r="AC176" i="8"/>
  <c r="AZ152" i="5"/>
  <c r="AN103" i="5"/>
  <c r="R132" i="8"/>
  <c r="AA68" i="8"/>
  <c r="AX37" i="5"/>
  <c r="AN113" i="5"/>
  <c r="AB8" i="8"/>
  <c r="AZ8" i="8" s="1"/>
  <c r="AY113" i="5"/>
  <c r="AX232" i="5"/>
  <c r="AA244" i="8"/>
  <c r="AW88" i="5"/>
  <c r="Z117" i="8"/>
  <c r="AX117" i="8" s="1"/>
  <c r="X232" i="8"/>
  <c r="AU219" i="5"/>
  <c r="AO139" i="8"/>
  <c r="BA110" i="5"/>
  <c r="Z112" i="8"/>
  <c r="AX112" i="8" s="1"/>
  <c r="AW83" i="5"/>
  <c r="AF255" i="8"/>
  <c r="AR255" i="8" s="1"/>
  <c r="H255" i="8" s="1"/>
  <c r="AR244" i="5"/>
  <c r="AF99" i="8"/>
  <c r="AR99" i="8" s="1"/>
  <c r="H99" i="8" s="1"/>
  <c r="AR70" i="5"/>
  <c r="AI16" i="2"/>
  <c r="AG16" i="2"/>
  <c r="AF16" i="2"/>
  <c r="AC102" i="8"/>
  <c r="AZ73" i="5"/>
  <c r="AH154" i="8"/>
  <c r="AT154" i="8" s="1"/>
  <c r="J154" i="8" s="1"/>
  <c r="AT129" i="5"/>
  <c r="W23" i="8"/>
  <c r="AT215" i="5"/>
  <c r="AL42" i="2"/>
  <c r="AW220" i="8"/>
  <c r="M220" i="8" s="1"/>
  <c r="AD199" i="8"/>
  <c r="AP199" i="8" s="1"/>
  <c r="F199" i="8" s="1"/>
  <c r="AP177" i="5"/>
  <c r="AW405" i="5"/>
  <c r="AK397" i="8"/>
  <c r="AG348" i="8"/>
  <c r="AS348" i="5"/>
  <c r="AC338" i="8"/>
  <c r="AZ338" i="5"/>
  <c r="AD249" i="8"/>
  <c r="AP249" i="8" s="1"/>
  <c r="AP237" i="5"/>
  <c r="X171" i="8"/>
  <c r="AU146" i="5"/>
  <c r="W91" i="8"/>
  <c r="AT62" i="5"/>
  <c r="AL9" i="2"/>
  <c r="W76" i="8"/>
  <c r="AT45" i="5"/>
  <c r="AX124" i="5"/>
  <c r="AA10" i="8"/>
  <c r="AC252" i="8"/>
  <c r="AZ241" i="5"/>
  <c r="AQ180" i="5"/>
  <c r="AE15" i="8"/>
  <c r="AY340" i="5"/>
  <c r="AM340" i="8"/>
  <c r="AY340" i="8" s="1"/>
  <c r="O340" i="8" s="1"/>
  <c r="AN340" i="5"/>
  <c r="AZ377" i="8"/>
  <c r="AO143" i="8"/>
  <c r="BA143" i="8" s="1"/>
  <c r="BA115" i="5"/>
  <c r="W138" i="8"/>
  <c r="AT109" i="5"/>
  <c r="AV114" i="8"/>
  <c r="AO170" i="8"/>
  <c r="BA145" i="5"/>
  <c r="R5" i="8"/>
  <c r="AN31" i="5"/>
  <c r="O58" i="5"/>
  <c r="AN58" i="5" s="1"/>
  <c r="AG87" i="8"/>
  <c r="AF298" i="8"/>
  <c r="AR298" i="8" s="1"/>
  <c r="H298" i="8" s="1"/>
  <c r="AR291" i="5"/>
  <c r="AN378" i="5"/>
  <c r="AB374" i="8"/>
  <c r="AZ374" i="8" s="1"/>
  <c r="AY378" i="5"/>
  <c r="AT355" i="8"/>
  <c r="AE24" i="8"/>
  <c r="AQ24" i="8" s="1"/>
  <c r="G24" i="8" s="1"/>
  <c r="AQ228" i="5"/>
  <c r="W206" i="8"/>
  <c r="AT186" i="5"/>
  <c r="Y340" i="8"/>
  <c r="AV340" i="5"/>
  <c r="X329" i="8"/>
  <c r="AU328" i="5"/>
  <c r="S285" i="8"/>
  <c r="AP277" i="5"/>
  <c r="X241" i="8"/>
  <c r="AU229" i="5"/>
  <c r="AC16" i="8"/>
  <c r="AZ183" i="5"/>
  <c r="R129" i="8"/>
  <c r="AN100" i="5"/>
  <c r="Z46" i="8"/>
  <c r="AW10" i="5"/>
  <c r="AN201" i="5"/>
  <c r="AB219" i="8"/>
  <c r="AZ219" i="8" s="1"/>
  <c r="AY201" i="5"/>
  <c r="Y310" i="8"/>
  <c r="AV308" i="5"/>
  <c r="AX63" i="5"/>
  <c r="AA92" i="8"/>
  <c r="Y121" i="8"/>
  <c r="AV92" i="5"/>
  <c r="AC230" i="8"/>
  <c r="AZ217" i="5"/>
  <c r="AP224" i="8"/>
  <c r="Y366" i="8"/>
  <c r="AV368" i="5"/>
  <c r="AS375" i="8"/>
  <c r="Z212" i="8"/>
  <c r="AX212" i="8" s="1"/>
  <c r="AW193" i="5"/>
  <c r="AC111" i="8"/>
  <c r="AZ82" i="5"/>
  <c r="AZ12" i="5"/>
  <c r="AC3" i="8"/>
  <c r="R151" i="8"/>
  <c r="AN126" i="5"/>
  <c r="X64" i="8"/>
  <c r="AU33" i="5"/>
  <c r="U334" i="8"/>
  <c r="AR334" i="5"/>
  <c r="Y130" i="8"/>
  <c r="AV101" i="5"/>
  <c r="Y178" i="8"/>
  <c r="AV154" i="5"/>
  <c r="Y311" i="8"/>
  <c r="AV309" i="5"/>
  <c r="AV183" i="8"/>
  <c r="C133" i="5"/>
  <c r="R158" i="8" s="1"/>
  <c r="B2" i="12"/>
  <c r="V353" i="8"/>
  <c r="AT353" i="8" s="1"/>
  <c r="AS354" i="5"/>
  <c r="AN91" i="5"/>
  <c r="Y94" i="8"/>
  <c r="AV65" i="5"/>
  <c r="U356" i="8"/>
  <c r="AR357" i="5"/>
  <c r="AX268" i="8"/>
  <c r="BA242" i="5"/>
  <c r="AO253" i="8"/>
  <c r="W18" i="8"/>
  <c r="AT200" i="5"/>
  <c r="U175" i="8"/>
  <c r="AR151" i="5"/>
  <c r="AC124" i="8"/>
  <c r="AZ95" i="5"/>
  <c r="AD133" i="5"/>
  <c r="T2" i="12"/>
  <c r="AC233" i="8"/>
  <c r="AZ220" i="5"/>
  <c r="Z135" i="8"/>
  <c r="AX135" i="8" s="1"/>
  <c r="AW106" i="5"/>
  <c r="U277" i="8"/>
  <c r="AR269" i="5"/>
  <c r="BA41" i="5"/>
  <c r="AO72" i="8"/>
  <c r="BA72" i="8" s="1"/>
  <c r="W95" i="8"/>
  <c r="AT66" i="5"/>
  <c r="AT46" i="5"/>
  <c r="W77" i="8"/>
  <c r="Y12" i="8"/>
  <c r="AV148" i="5"/>
  <c r="AH37" i="8"/>
  <c r="AT37" i="8" s="1"/>
  <c r="J37" i="8" s="1"/>
  <c r="AT401" i="5"/>
  <c r="AN401" i="5"/>
  <c r="AO43" i="8"/>
  <c r="BA7" i="5"/>
  <c r="Y82" i="8"/>
  <c r="AV53" i="5"/>
  <c r="AC44" i="2"/>
  <c r="S4" i="8"/>
  <c r="AP28" i="5"/>
  <c r="AC216" i="8"/>
  <c r="AZ197" i="5"/>
  <c r="AD348" i="8"/>
  <c r="AP348" i="8" s="1"/>
  <c r="F348" i="8" s="1"/>
  <c r="AP348" i="5"/>
  <c r="AR229" i="5"/>
  <c r="AF241" i="8"/>
  <c r="AR241" i="8" s="1"/>
  <c r="H241" i="8" s="1"/>
  <c r="AC341" i="8"/>
  <c r="AZ341" i="5"/>
  <c r="X324" i="8"/>
  <c r="AU322" i="5"/>
  <c r="AN368" i="5"/>
  <c r="AB366" i="8"/>
  <c r="AZ366" i="8" s="1"/>
  <c r="AY368" i="5"/>
  <c r="W203" i="8"/>
  <c r="AT182" i="5"/>
  <c r="Z310" i="8"/>
  <c r="AW308" i="5"/>
  <c r="AA20" i="8"/>
  <c r="AX204" i="5"/>
  <c r="X343" i="8"/>
  <c r="AU343" i="5"/>
  <c r="AD297" i="8"/>
  <c r="AP297" i="8" s="1"/>
  <c r="F297" i="8" s="1"/>
  <c r="AP290" i="5"/>
  <c r="AZ289" i="8"/>
  <c r="AC251" i="8"/>
  <c r="AZ239" i="5"/>
  <c r="W317" i="8"/>
  <c r="AU317" i="8" s="1"/>
  <c r="AT315" i="5"/>
  <c r="AR192" i="5"/>
  <c r="AF211" i="8"/>
  <c r="AR211" i="8" s="1"/>
  <c r="H211" i="8" s="1"/>
  <c r="N133" i="5"/>
  <c r="I2" i="12"/>
  <c r="Z200" i="8"/>
  <c r="AX200" i="8" s="1"/>
  <c r="AW178" i="5"/>
  <c r="AC280" i="8"/>
  <c r="AZ272" i="5"/>
  <c r="Z276" i="8"/>
  <c r="AW268" i="5"/>
  <c r="Z296" i="8"/>
  <c r="AW289" i="5"/>
  <c r="AG285" i="8"/>
  <c r="AS285" i="8" s="1"/>
  <c r="AS277" i="5"/>
  <c r="AF133" i="8"/>
  <c r="AR133" i="8" s="1"/>
  <c r="H133" i="8" s="1"/>
  <c r="AR104" i="5"/>
  <c r="Y32" i="8"/>
  <c r="AV351" i="5"/>
  <c r="AX380" i="5"/>
  <c r="AA376" i="8"/>
  <c r="AO301" i="8"/>
  <c r="BA294" i="5"/>
  <c r="W200" i="8"/>
  <c r="AT178" i="5"/>
  <c r="AC190" i="8"/>
  <c r="BA190" i="8" s="1"/>
  <c r="AZ167" i="5"/>
  <c r="AP156" i="5"/>
  <c r="AD180" i="8"/>
  <c r="AP180" i="8" s="1"/>
  <c r="Z121" i="8"/>
  <c r="AX121" i="8" s="1"/>
  <c r="AW92" i="5"/>
  <c r="AP29" i="5"/>
  <c r="AD61" i="8"/>
  <c r="AA53" i="8"/>
  <c r="AX18" i="5"/>
  <c r="AX162" i="8"/>
  <c r="W320" i="8"/>
  <c r="AU320" i="8" s="1"/>
  <c r="AT318" i="5"/>
  <c r="W227" i="8"/>
  <c r="AU227" i="8" s="1"/>
  <c r="AT212" i="5"/>
  <c r="U205" i="8"/>
  <c r="AR185" i="5"/>
  <c r="AZ17" i="8"/>
  <c r="S147" i="8"/>
  <c r="AP119" i="5"/>
  <c r="AO79" i="8"/>
  <c r="BA50" i="5"/>
  <c r="F3" i="8"/>
  <c r="AQ158" i="5"/>
  <c r="AE182" i="8"/>
  <c r="AV47" i="5"/>
  <c r="Y78" i="8"/>
  <c r="AD248" i="8"/>
  <c r="AP248" i="8" s="1"/>
  <c r="F248" i="8" s="1"/>
  <c r="AP236" i="5"/>
  <c r="X41" i="8"/>
  <c r="AU4" i="5"/>
  <c r="Y125" i="8"/>
  <c r="AV96" i="5"/>
  <c r="AD55" i="8"/>
  <c r="AP22" i="5"/>
  <c r="AN193" i="5"/>
  <c r="R212" i="8"/>
  <c r="V359" i="8"/>
  <c r="AS360" i="5"/>
  <c r="AN143" i="5"/>
  <c r="AY143" i="5"/>
  <c r="AB168" i="8"/>
  <c r="X370" i="8"/>
  <c r="AU373" i="5"/>
  <c r="W30" i="8"/>
  <c r="AT325" i="5"/>
  <c r="AD365" i="8"/>
  <c r="AP365" i="8" s="1"/>
  <c r="F365" i="8" s="1"/>
  <c r="AP367" i="5"/>
  <c r="Y195" i="8"/>
  <c r="AW195" i="8" s="1"/>
  <c r="AV173" i="5"/>
  <c r="U314" i="8"/>
  <c r="AR312" i="5"/>
  <c r="AF47" i="2"/>
  <c r="U34" i="8"/>
  <c r="AS34" i="8" s="1"/>
  <c r="AR370" i="5"/>
  <c r="AY332" i="5"/>
  <c r="AM332" i="8"/>
  <c r="AY332" i="8" s="1"/>
  <c r="O332" i="8" s="1"/>
  <c r="AN332" i="5"/>
  <c r="R25" i="8"/>
  <c r="AN248" i="5"/>
  <c r="Z377" i="8"/>
  <c r="AX377" i="8" s="1"/>
  <c r="AW381" i="5"/>
  <c r="X374" i="8"/>
  <c r="AV374" i="8" s="1"/>
  <c r="AU378" i="5"/>
  <c r="L222" i="8"/>
  <c r="BA357" i="5"/>
  <c r="AO356" i="8"/>
  <c r="Y301" i="8"/>
  <c r="AV294" i="5"/>
  <c r="X23" i="8"/>
  <c r="AV23" i="8" s="1"/>
  <c r="AU215" i="5"/>
  <c r="AD150" i="8"/>
  <c r="AP150" i="8" s="1"/>
  <c r="AP122" i="5"/>
  <c r="AO9" i="8"/>
  <c r="BA123" i="5"/>
  <c r="AX243" i="5"/>
  <c r="AA254" i="8"/>
  <c r="AA44" i="8"/>
  <c r="AX8" i="5"/>
  <c r="AO211" i="8"/>
  <c r="BA211" i="8" s="1"/>
  <c r="BA192" i="5"/>
  <c r="X331" i="8"/>
  <c r="AV331" i="8" s="1"/>
  <c r="AU330" i="5"/>
  <c r="Z354" i="8"/>
  <c r="AX354" i="8" s="1"/>
  <c r="AW355" i="5"/>
  <c r="R223" i="8"/>
  <c r="AN208" i="5"/>
  <c r="AP351" i="5"/>
  <c r="AD32" i="8"/>
  <c r="AP32" i="8" s="1"/>
  <c r="F32" i="8" s="1"/>
  <c r="Z83" i="8"/>
  <c r="AX83" i="8" s="1"/>
  <c r="AW54" i="5"/>
  <c r="Z287" i="8"/>
  <c r="AX287" i="8" s="1"/>
  <c r="AW280" i="5"/>
  <c r="AR49" i="5"/>
  <c r="AF7" i="8"/>
  <c r="AR7" i="8" s="1"/>
  <c r="H7" i="8" s="1"/>
  <c r="BA372" i="5"/>
  <c r="AO369" i="8"/>
  <c r="Y216" i="8"/>
  <c r="AV197" i="5"/>
  <c r="AD311" i="8"/>
  <c r="AP311" i="8" s="1"/>
  <c r="F311" i="8" s="1"/>
  <c r="AP309" i="5"/>
  <c r="AC180" i="8"/>
  <c r="AZ156" i="5"/>
  <c r="M305" i="8"/>
  <c r="AA177" i="8"/>
  <c r="AX153" i="5"/>
  <c r="AC159" i="8"/>
  <c r="AZ134" i="5"/>
  <c r="AX82" i="5"/>
  <c r="AA111" i="8"/>
  <c r="AU130" i="5"/>
  <c r="AI155" i="8"/>
  <c r="W277" i="8"/>
  <c r="AT269" i="5"/>
  <c r="X148" i="8"/>
  <c r="AU120" i="5"/>
  <c r="AN362" i="5"/>
  <c r="AB33" i="8"/>
  <c r="AY362" i="5"/>
  <c r="AN356" i="5"/>
  <c r="AB355" i="8"/>
  <c r="AZ355" i="8" s="1"/>
  <c r="AY356" i="5"/>
  <c r="BA375" i="5"/>
  <c r="AO371" i="8"/>
  <c r="AX365" i="5"/>
  <c r="AA363" i="8"/>
  <c r="AO41" i="8"/>
  <c r="BA4" i="5"/>
  <c r="W114" i="8"/>
  <c r="AU114" i="8" s="1"/>
  <c r="AT85" i="5"/>
  <c r="AL24" i="2"/>
  <c r="X197" i="8"/>
  <c r="AV197" i="8" s="1"/>
  <c r="AU175" i="5"/>
  <c r="AD274" i="8"/>
  <c r="AP266" i="5"/>
  <c r="AC54" i="8"/>
  <c r="AZ21" i="5"/>
  <c r="AQ12" i="5"/>
  <c r="AE3" i="8"/>
  <c r="X217" i="8"/>
  <c r="AU198" i="5"/>
  <c r="AQ271" i="5"/>
  <c r="AE279" i="8"/>
  <c r="Z314" i="8"/>
  <c r="AX314" i="8" s="1"/>
  <c r="AW312" i="5"/>
  <c r="Z183" i="8"/>
  <c r="AX183" i="8" s="1"/>
  <c r="AW160" i="5"/>
  <c r="AW309" i="8"/>
  <c r="M309" i="8" s="1"/>
  <c r="U342" i="8"/>
  <c r="AR342" i="5"/>
  <c r="AL45" i="2"/>
  <c r="W305" i="8"/>
  <c r="AT303" i="5"/>
  <c r="Z166" i="8"/>
  <c r="AX166" i="8" s="1"/>
  <c r="AW141" i="5"/>
  <c r="AD376" i="8"/>
  <c r="AP376" i="8" s="1"/>
  <c r="F376" i="8" s="1"/>
  <c r="AP380" i="5"/>
  <c r="W258" i="8"/>
  <c r="AT247" i="5"/>
  <c r="AN56" i="5"/>
  <c r="AX82" i="8"/>
  <c r="N82" i="8" s="1"/>
  <c r="Z317" i="8"/>
  <c r="AW315" i="5"/>
  <c r="AX103" i="5"/>
  <c r="AA132" i="8"/>
  <c r="BA317" i="5"/>
  <c r="AO319" i="8"/>
  <c r="Y317" i="8"/>
  <c r="AV315" i="5"/>
  <c r="V371" i="8"/>
  <c r="AT371" i="8" s="1"/>
  <c r="AS375" i="5"/>
  <c r="AC56" i="2"/>
  <c r="S107" i="8"/>
  <c r="AP78" i="5"/>
  <c r="AD54" i="8"/>
  <c r="AP21" i="5"/>
  <c r="Z28" i="8"/>
  <c r="AX28" i="8" s="1"/>
  <c r="AW279" i="5"/>
  <c r="K174" i="5"/>
  <c r="AF196" i="8" s="1"/>
  <c r="AR196" i="8" s="1"/>
  <c r="H196" i="8" s="1"/>
  <c r="G2" i="12"/>
  <c r="AF140" i="8"/>
  <c r="AR140" i="8" s="1"/>
  <c r="H140" i="8" s="1"/>
  <c r="AR111" i="5"/>
  <c r="AC37" i="8"/>
  <c r="AZ401" i="5"/>
  <c r="AC66" i="8"/>
  <c r="AZ35" i="5"/>
  <c r="AP232" i="5"/>
  <c r="AD244" i="8"/>
  <c r="R264" i="8"/>
  <c r="AN255" i="5"/>
  <c r="AS54" i="5"/>
  <c r="AG83" i="8"/>
  <c r="AD146" i="8"/>
  <c r="AP118" i="5"/>
  <c r="W352" i="8"/>
  <c r="AT353" i="5"/>
  <c r="BA201" i="5"/>
  <c r="AO219" i="8"/>
  <c r="BA219" i="8" s="1"/>
  <c r="AO282" i="8"/>
  <c r="BA274" i="5"/>
  <c r="AO278" i="8"/>
  <c r="BA278" i="8" s="1"/>
  <c r="BA270" i="5"/>
  <c r="AC324" i="8"/>
  <c r="AZ322" i="5"/>
  <c r="U273" i="8"/>
  <c r="AR264" i="5"/>
  <c r="Y363" i="8"/>
  <c r="AV365" i="5"/>
  <c r="AX285" i="5"/>
  <c r="AA292" i="8"/>
  <c r="Z163" i="8"/>
  <c r="AX163" i="8" s="1"/>
  <c r="AW138" i="5"/>
  <c r="AX116" i="8"/>
  <c r="N116" i="8" s="1"/>
  <c r="X227" i="8"/>
  <c r="AV227" i="8" s="1"/>
  <c r="AU212" i="5"/>
  <c r="AX115" i="8"/>
  <c r="AX276" i="5"/>
  <c r="AA284" i="8"/>
  <c r="AO213" i="8"/>
  <c r="BA194" i="5"/>
  <c r="X306" i="8"/>
  <c r="AV306" i="8" s="1"/>
  <c r="AU304" i="5"/>
  <c r="AQ140" i="5"/>
  <c r="AE165" i="8"/>
  <c r="BA88" i="8"/>
  <c r="Q88" i="8" s="1"/>
  <c r="AO283" i="8"/>
  <c r="BA275" i="5"/>
  <c r="R196" i="8"/>
  <c r="R201" i="8"/>
  <c r="AP201" i="8" s="1"/>
  <c r="AN179" i="5"/>
  <c r="Y39" i="8"/>
  <c r="AV2" i="5"/>
  <c r="Y42" i="8"/>
  <c r="AV6" i="5"/>
  <c r="AW396" i="5"/>
  <c r="AK389" i="8"/>
  <c r="Y357" i="8"/>
  <c r="AV358" i="5"/>
  <c r="AC135" i="8"/>
  <c r="AZ106" i="5"/>
  <c r="AN206" i="5"/>
  <c r="AY190" i="8"/>
  <c r="O190" i="8" s="1"/>
  <c r="AW386" i="8"/>
  <c r="AN224" i="5"/>
  <c r="AN278" i="5"/>
  <c r="O236" i="8"/>
  <c r="AW253" i="8"/>
  <c r="M253" i="8" s="1"/>
  <c r="AU202" i="8"/>
  <c r="K202" i="8" s="1"/>
  <c r="AW131" i="8"/>
  <c r="M131" i="8" s="1"/>
  <c r="AU324" i="5"/>
  <c r="P353" i="8"/>
  <c r="F160" i="8"/>
  <c r="AU12" i="8"/>
  <c r="K12" i="8" s="1"/>
  <c r="M119" i="8"/>
  <c r="M349" i="8"/>
  <c r="AU338" i="5"/>
  <c r="Q361" i="8"/>
  <c r="AW123" i="8"/>
  <c r="M123" i="8" s="1"/>
  <c r="AX226" i="5"/>
  <c r="AP164" i="8"/>
  <c r="F164" i="8" s="1"/>
  <c r="AP266" i="8"/>
  <c r="AX318" i="8"/>
  <c r="N318" i="8" s="1"/>
  <c r="AY66" i="8"/>
  <c r="O66" i="8" s="1"/>
  <c r="AM272" i="8"/>
  <c r="AY272" i="8" s="1"/>
  <c r="O272" i="8" s="1"/>
  <c r="AY263" i="5"/>
  <c r="AN263" i="5"/>
  <c r="X336" i="8"/>
  <c r="AV336" i="8" s="1"/>
  <c r="AU336" i="5"/>
  <c r="AN270" i="5"/>
  <c r="R278" i="8"/>
  <c r="W376" i="8"/>
  <c r="AU376" i="8" s="1"/>
  <c r="AT380" i="5"/>
  <c r="AP35" i="5"/>
  <c r="AD66" i="8"/>
  <c r="AP66" i="8" s="1"/>
  <c r="F66" i="8" s="1"/>
  <c r="AX162" i="5"/>
  <c r="AA185" i="8"/>
  <c r="AC174" i="8"/>
  <c r="AZ150" i="5"/>
  <c r="AQ131" i="5"/>
  <c r="AE156" i="8"/>
  <c r="AQ156" i="8" s="1"/>
  <c r="G156" i="8" s="1"/>
  <c r="AC9" i="2"/>
  <c r="AP45" i="5"/>
  <c r="AD76" i="8"/>
  <c r="X319" i="8"/>
  <c r="AV319" i="8" s="1"/>
  <c r="AU317" i="5"/>
  <c r="AX252" i="5"/>
  <c r="AA262" i="8"/>
  <c r="W377" i="8"/>
  <c r="AT381" i="5"/>
  <c r="W278" i="8"/>
  <c r="AT270" i="5"/>
  <c r="AY95" i="2"/>
  <c r="AP188" i="5"/>
  <c r="AD208" i="8"/>
  <c r="AP208" i="8" s="1"/>
  <c r="F208" i="8" s="1"/>
  <c r="Z201" i="8"/>
  <c r="AX201" i="8" s="1"/>
  <c r="AW179" i="5"/>
  <c r="AC256" i="8"/>
  <c r="AZ245" i="5"/>
  <c r="AC104" i="8"/>
  <c r="AZ75" i="5"/>
  <c r="E133" i="5"/>
  <c r="C2" i="12"/>
  <c r="AC400" i="8"/>
  <c r="AZ409" i="5"/>
  <c r="AR159" i="5"/>
  <c r="AF13" i="8"/>
  <c r="AR13" i="8" s="1"/>
  <c r="H13" i="8" s="1"/>
  <c r="F370" i="8"/>
  <c r="AC224" i="8"/>
  <c r="AZ209" i="5"/>
  <c r="AD20" i="8"/>
  <c r="AP20" i="8" s="1"/>
  <c r="F20" i="8" s="1"/>
  <c r="AP204" i="5"/>
  <c r="X225" i="8"/>
  <c r="AU210" i="5"/>
  <c r="AU82" i="5"/>
  <c r="X111" i="8"/>
  <c r="AV111" i="8" s="1"/>
  <c r="R226" i="8"/>
  <c r="AP226" i="8" s="1"/>
  <c r="AN211" i="5"/>
  <c r="AX353" i="8"/>
  <c r="AU57" i="8"/>
  <c r="AV180" i="5"/>
  <c r="Y15" i="8"/>
  <c r="AW15" i="8" s="1"/>
  <c r="BA211" i="5"/>
  <c r="AO226" i="8"/>
  <c r="BA226" i="8" s="1"/>
  <c r="AD332" i="8"/>
  <c r="AP332" i="8" s="1"/>
  <c r="F332" i="8" s="1"/>
  <c r="AP332" i="5"/>
  <c r="X364" i="8"/>
  <c r="AU366" i="5"/>
  <c r="F364" i="8"/>
  <c r="W333" i="8"/>
  <c r="AU333" i="8" s="1"/>
  <c r="AT333" i="5"/>
  <c r="Y174" i="8"/>
  <c r="AV150" i="5"/>
  <c r="AN63" i="5"/>
  <c r="R92" i="8"/>
  <c r="Y96" i="8"/>
  <c r="AV67" i="5"/>
  <c r="AD318" i="8"/>
  <c r="AP318" i="8" s="1"/>
  <c r="F318" i="8" s="1"/>
  <c r="AP316" i="5"/>
  <c r="AL69" i="2"/>
  <c r="W74" i="8"/>
  <c r="AT43" i="5"/>
  <c r="Y165" i="8"/>
  <c r="AV140" i="5"/>
  <c r="AU365" i="8"/>
  <c r="AO279" i="8"/>
  <c r="BA271" i="5"/>
  <c r="W274" i="8"/>
  <c r="AT266" i="5"/>
  <c r="W11" i="8"/>
  <c r="AT125" i="5"/>
  <c r="AP250" i="5"/>
  <c r="AD260" i="8"/>
  <c r="AP260" i="8" s="1"/>
  <c r="F260" i="8" s="1"/>
  <c r="X19" i="8"/>
  <c r="AU203" i="5"/>
  <c r="Y276" i="8"/>
  <c r="AV268" i="5"/>
  <c r="AC20" i="2"/>
  <c r="S102" i="8"/>
  <c r="AP73" i="5"/>
  <c r="AX360" i="5"/>
  <c r="AA359" i="8"/>
  <c r="AY359" i="8" s="1"/>
  <c r="X17" i="8"/>
  <c r="AU190" i="5"/>
  <c r="AD354" i="8"/>
  <c r="AP354" i="8" s="1"/>
  <c r="F354" i="8" s="1"/>
  <c r="AP355" i="5"/>
  <c r="AG317" i="8"/>
  <c r="AS315" i="5"/>
  <c r="AD331" i="8"/>
  <c r="AP331" i="8" s="1"/>
  <c r="F331" i="8" s="1"/>
  <c r="AP330" i="5"/>
  <c r="AI275" i="8"/>
  <c r="AU267" i="5"/>
  <c r="Y259" i="8"/>
  <c r="AV249" i="5"/>
  <c r="AX208" i="5"/>
  <c r="AA223" i="8"/>
  <c r="Y187" i="8"/>
  <c r="AV164" i="5"/>
  <c r="BA135" i="5"/>
  <c r="AO160" i="8"/>
  <c r="AN213" i="5"/>
  <c r="AB228" i="8"/>
  <c r="AZ228" i="8" s="1"/>
  <c r="AY213" i="5"/>
  <c r="AX166" i="5"/>
  <c r="AA189" i="8"/>
  <c r="AV318" i="8"/>
  <c r="Y378" i="8"/>
  <c r="AV382" i="5"/>
  <c r="R234" i="8"/>
  <c r="AP234" i="8" s="1"/>
  <c r="AN221" i="5"/>
  <c r="X228" i="8"/>
  <c r="AV228" i="8" s="1"/>
  <c r="AU213" i="5"/>
  <c r="BA112" i="5"/>
  <c r="AO141" i="8"/>
  <c r="Z66" i="8"/>
  <c r="AX66" i="8" s="1"/>
  <c r="AW35" i="5"/>
  <c r="AF97" i="8"/>
  <c r="AR97" i="8" s="1"/>
  <c r="H97" i="8" s="1"/>
  <c r="AR68" i="5"/>
  <c r="AC271" i="8"/>
  <c r="AZ262" i="5"/>
  <c r="AT137" i="5"/>
  <c r="AH162" i="8"/>
  <c r="AT162" i="8" s="1"/>
  <c r="J162" i="8" s="1"/>
  <c r="W230" i="8"/>
  <c r="AT217" i="5"/>
  <c r="AP175" i="5"/>
  <c r="AD197" i="8"/>
  <c r="AP197" i="8" s="1"/>
  <c r="F197" i="8" s="1"/>
  <c r="X300" i="8"/>
  <c r="AU293" i="5"/>
  <c r="AW414" i="5"/>
  <c r="AK405" i="8"/>
  <c r="AK45" i="2"/>
  <c r="AS303" i="5"/>
  <c r="AG305" i="8"/>
  <c r="BH95" i="2"/>
  <c r="Z290" i="8"/>
  <c r="AX290" i="8" s="1"/>
  <c r="AW283" i="5"/>
  <c r="Y394" i="8"/>
  <c r="AV402" i="5"/>
  <c r="E17" i="3"/>
  <c r="AX215" i="5"/>
  <c r="AA23" i="8"/>
  <c r="AC253" i="8"/>
  <c r="AZ242" i="5"/>
  <c r="AC186" i="8"/>
  <c r="AZ163" i="5"/>
  <c r="R118" i="8"/>
  <c r="AN89" i="5"/>
  <c r="Y156" i="8"/>
  <c r="AV131" i="5"/>
  <c r="AA82" i="8"/>
  <c r="AX53" i="5"/>
  <c r="AN110" i="5"/>
  <c r="AB139" i="8"/>
  <c r="AY110" i="5"/>
  <c r="AA80" i="8"/>
  <c r="E28" i="3"/>
  <c r="AX51" i="5"/>
  <c r="AC236" i="8"/>
  <c r="AZ223" i="5"/>
  <c r="AE203" i="8"/>
  <c r="AQ182" i="5"/>
  <c r="AK359" i="8"/>
  <c r="AW360" i="5"/>
  <c r="AN343" i="5"/>
  <c r="AY343" i="5"/>
  <c r="AM343" i="8"/>
  <c r="AY343" i="8" s="1"/>
  <c r="O343" i="8" s="1"/>
  <c r="AG347" i="8"/>
  <c r="AS347" i="5"/>
  <c r="AO112" i="8"/>
  <c r="BA83" i="5"/>
  <c r="W81" i="8"/>
  <c r="AT52" i="5"/>
  <c r="AN300" i="5"/>
  <c r="AD8" i="8"/>
  <c r="AP8" i="8" s="1"/>
  <c r="F8" i="8" s="1"/>
  <c r="AP113" i="5"/>
  <c r="BA141" i="5"/>
  <c r="AO166" i="8"/>
  <c r="AN33" i="5"/>
  <c r="R64" i="8"/>
  <c r="AF297" i="8"/>
  <c r="AR297" i="8" s="1"/>
  <c r="H297" i="8" s="1"/>
  <c r="AR290" i="5"/>
  <c r="AN377" i="5"/>
  <c r="AB373" i="8"/>
  <c r="AZ373" i="8" s="1"/>
  <c r="AY377" i="5"/>
  <c r="Y277" i="8"/>
  <c r="AV269" i="5"/>
  <c r="AL61" i="2"/>
  <c r="AT222" i="5"/>
  <c r="W235" i="8"/>
  <c r="Y342" i="8"/>
  <c r="AV342" i="5"/>
  <c r="W246" i="8"/>
  <c r="AT234" i="5"/>
  <c r="Y218" i="8"/>
  <c r="AV199" i="5"/>
  <c r="Y175" i="8"/>
  <c r="AV151" i="5"/>
  <c r="AD128" i="8"/>
  <c r="AP99" i="5"/>
  <c r="X49" i="8"/>
  <c r="AV49" i="8" s="1"/>
  <c r="AU14" i="5"/>
  <c r="AN111" i="5"/>
  <c r="AB140" i="8"/>
  <c r="AZ140" i="8" s="1"/>
  <c r="AY111" i="5"/>
  <c r="AX4" i="8"/>
  <c r="Y318" i="8"/>
  <c r="AV316" i="5"/>
  <c r="AA41" i="8"/>
  <c r="AX4" i="5"/>
  <c r="AU32" i="8"/>
  <c r="L27" i="8"/>
  <c r="Y83" i="8"/>
  <c r="AV54" i="5"/>
  <c r="AC23" i="8"/>
  <c r="AZ215" i="5"/>
  <c r="AG342" i="8"/>
  <c r="AS342" i="5"/>
  <c r="Z181" i="8"/>
  <c r="AX181" i="8" s="1"/>
  <c r="AW157" i="5"/>
  <c r="AC83" i="8"/>
  <c r="AZ54" i="5"/>
  <c r="AC2" i="8"/>
  <c r="AZ5" i="5"/>
  <c r="F141" i="8"/>
  <c r="X5" i="8"/>
  <c r="AV5" i="8" s="1"/>
  <c r="AU31" i="5"/>
  <c r="U329" i="8"/>
  <c r="AR328" i="5"/>
  <c r="AZ92" i="2"/>
  <c r="AV45" i="5"/>
  <c r="Y76" i="8"/>
  <c r="Y314" i="8"/>
  <c r="AV312" i="5"/>
  <c r="F4" i="8"/>
  <c r="X289" i="8"/>
  <c r="AV289" i="8" s="1"/>
  <c r="AU282" i="5"/>
  <c r="L238" i="8"/>
  <c r="Y95" i="8"/>
  <c r="AV66" i="5"/>
  <c r="AZ331" i="5"/>
  <c r="AN31" i="8"/>
  <c r="AZ31" i="8" s="1"/>
  <c r="P31" i="8" s="1"/>
  <c r="W234" i="8"/>
  <c r="AT221" i="5"/>
  <c r="W195" i="8"/>
  <c r="AT173" i="5"/>
  <c r="AN123" i="5"/>
  <c r="R9" i="8"/>
  <c r="AP9" i="8" s="1"/>
  <c r="AO54" i="8"/>
  <c r="BA21" i="5"/>
  <c r="AX155" i="5"/>
  <c r="AA179" i="8"/>
  <c r="AC228" i="8"/>
  <c r="AZ213" i="5"/>
  <c r="AG277" i="8"/>
  <c r="AS269" i="5"/>
  <c r="U189" i="8"/>
  <c r="AR166" i="5"/>
  <c r="W94" i="8"/>
  <c r="AT65" i="5"/>
  <c r="M221" i="8"/>
  <c r="Y140" i="8"/>
  <c r="AV111" i="5"/>
  <c r="BA8" i="5"/>
  <c r="AO44" i="8"/>
  <c r="Y79" i="8"/>
  <c r="AV50" i="5"/>
  <c r="AC213" i="8"/>
  <c r="AZ194" i="5"/>
  <c r="AC45" i="2"/>
  <c r="AP303" i="5"/>
  <c r="AD305" i="8"/>
  <c r="AP305" i="8" s="1"/>
  <c r="F305" i="8" s="1"/>
  <c r="AT92" i="2"/>
  <c r="AR141" i="5"/>
  <c r="AF166" i="8"/>
  <c r="AR166" i="8" s="1"/>
  <c r="H166" i="8" s="1"/>
  <c r="U27" i="8"/>
  <c r="AR265" i="5"/>
  <c r="AC317" i="8"/>
  <c r="AZ315" i="5"/>
  <c r="X30" i="8"/>
  <c r="AV30" i="8" s="1"/>
  <c r="AU325" i="5"/>
  <c r="W301" i="8"/>
  <c r="AT294" i="5"/>
  <c r="AN366" i="5"/>
  <c r="AB364" i="8"/>
  <c r="AZ364" i="8" s="1"/>
  <c r="AY366" i="5"/>
  <c r="W108" i="8"/>
  <c r="AT79" i="5"/>
  <c r="AO16" i="8"/>
  <c r="BA183" i="5"/>
  <c r="Y122" i="8"/>
  <c r="AV93" i="5"/>
  <c r="AX235" i="5"/>
  <c r="AA247" i="8"/>
  <c r="X344" i="8"/>
  <c r="AU344" i="5"/>
  <c r="AP288" i="5"/>
  <c r="AD295" i="8"/>
  <c r="AP295" i="8" s="1"/>
  <c r="F295" i="8" s="1"/>
  <c r="AC57" i="2"/>
  <c r="AL62" i="2"/>
  <c r="W316" i="8"/>
  <c r="AU316" i="8" s="1"/>
  <c r="AT314" i="5"/>
  <c r="AI70" i="2"/>
  <c r="AG70" i="2"/>
  <c r="AF17" i="8"/>
  <c r="AR17" i="8" s="1"/>
  <c r="H17" i="8" s="1"/>
  <c r="AR190" i="5"/>
  <c r="AF70" i="2"/>
  <c r="AZ86" i="2"/>
  <c r="Z39" i="8"/>
  <c r="AX39" i="8" s="1"/>
  <c r="AW2" i="5"/>
  <c r="Z19" i="8"/>
  <c r="AX19" i="8" s="1"/>
  <c r="AW203" i="5"/>
  <c r="AC405" i="8"/>
  <c r="AZ414" i="5"/>
  <c r="AC28" i="8"/>
  <c r="AZ279" i="5"/>
  <c r="AC283" i="8"/>
  <c r="AZ275" i="5"/>
  <c r="Z228" i="8"/>
  <c r="AX228" i="8" s="1"/>
  <c r="AW213" i="5"/>
  <c r="Z293" i="8"/>
  <c r="AW286" i="5"/>
  <c r="BH92" i="2"/>
  <c r="Y330" i="8"/>
  <c r="AV329" i="5"/>
  <c r="AC33" i="8"/>
  <c r="AZ362" i="5"/>
  <c r="AP242" i="5"/>
  <c r="AD253" i="8"/>
  <c r="AP253" i="8" s="1"/>
  <c r="F253" i="8" s="1"/>
  <c r="R162" i="8"/>
  <c r="AN137" i="5"/>
  <c r="AX130" i="5"/>
  <c r="AA155" i="8"/>
  <c r="AA2" i="8"/>
  <c r="AX5" i="5"/>
  <c r="AN28" i="5"/>
  <c r="AY28" i="5"/>
  <c r="AB4" i="8"/>
  <c r="W310" i="8"/>
  <c r="AU310" i="8" s="1"/>
  <c r="AT308" i="5"/>
  <c r="W13" i="8"/>
  <c r="AT159" i="5"/>
  <c r="BA2" i="5"/>
  <c r="AO39" i="8"/>
  <c r="R41" i="8"/>
  <c r="AN4" i="5"/>
  <c r="AE183" i="8"/>
  <c r="AQ160" i="5"/>
  <c r="Y7" i="8"/>
  <c r="AV49" i="5"/>
  <c r="AP238" i="5"/>
  <c r="AD250" i="8"/>
  <c r="AP250" i="8" s="1"/>
  <c r="F250" i="8" s="1"/>
  <c r="L119" i="8"/>
  <c r="Y99" i="8"/>
  <c r="AV70" i="5"/>
  <c r="AS323" i="5"/>
  <c r="AG325" i="8"/>
  <c r="R181" i="8"/>
  <c r="AN157" i="5"/>
  <c r="V360" i="8"/>
  <c r="AS361" i="5"/>
  <c r="AN101" i="5"/>
  <c r="AB130" i="8"/>
  <c r="AZ130" i="8" s="1"/>
  <c r="AY101" i="5"/>
  <c r="X369" i="8"/>
  <c r="AV369" i="8" s="1"/>
  <c r="AU372" i="5"/>
  <c r="W330" i="8"/>
  <c r="AU330" i="8" s="1"/>
  <c r="AT329" i="5"/>
  <c r="AD363" i="8"/>
  <c r="AP363" i="8" s="1"/>
  <c r="F363" i="8" s="1"/>
  <c r="AP365" i="5"/>
  <c r="Y160" i="8"/>
  <c r="AV135" i="5"/>
  <c r="U313" i="8"/>
  <c r="AR311" i="5"/>
  <c r="L24" i="8"/>
  <c r="U33" i="8"/>
  <c r="AS33" i="8" s="1"/>
  <c r="AR362" i="5"/>
  <c r="AF51" i="2"/>
  <c r="AN349" i="5"/>
  <c r="AY349" i="5"/>
  <c r="AM349" i="8"/>
  <c r="AY349" i="8" s="1"/>
  <c r="O349" i="8" s="1"/>
  <c r="R256" i="8"/>
  <c r="AN245" i="5"/>
  <c r="Z378" i="8"/>
  <c r="AX378" i="8" s="1"/>
  <c r="AW382" i="5"/>
  <c r="AD27" i="8"/>
  <c r="AP265" i="5"/>
  <c r="X376" i="8"/>
  <c r="AV376" i="8" s="1"/>
  <c r="AU380" i="5"/>
  <c r="AS172" i="8"/>
  <c r="I172" i="8" s="1"/>
  <c r="Z360" i="8"/>
  <c r="AW361" i="5"/>
  <c r="AR296" i="5"/>
  <c r="AF29" i="8"/>
  <c r="AR29" i="8" s="1"/>
  <c r="H29" i="8" s="1"/>
  <c r="AX159" i="5"/>
  <c r="AA13" i="8"/>
  <c r="AP138" i="5"/>
  <c r="AD163" i="8"/>
  <c r="AP163" i="8" s="1"/>
  <c r="AX88" i="5"/>
  <c r="AA117" i="8"/>
  <c r="AY117" i="8" s="1"/>
  <c r="AW46" i="5"/>
  <c r="Z77" i="8"/>
  <c r="AX77" i="8" s="1"/>
  <c r="AX225" i="5"/>
  <c r="AA238" i="8"/>
  <c r="AP240" i="5"/>
  <c r="AC75" i="2"/>
  <c r="AU88" i="5"/>
  <c r="X117" i="8"/>
  <c r="AO17" i="8"/>
  <c r="BA190" i="5"/>
  <c r="X317" i="8"/>
  <c r="AV317" i="8" s="1"/>
  <c r="AU315" i="5"/>
  <c r="BE95" i="2"/>
  <c r="AN222" i="5"/>
  <c r="R235" i="8"/>
  <c r="AP333" i="5"/>
  <c r="AD333" i="8"/>
  <c r="AP333" i="8" s="1"/>
  <c r="F333" i="8" s="1"/>
  <c r="X293" i="8"/>
  <c r="AU286" i="5"/>
  <c r="AW12" i="5"/>
  <c r="Z3" i="8"/>
  <c r="AX3" i="8" s="1"/>
  <c r="Z243" i="8"/>
  <c r="AX243" i="8" s="1"/>
  <c r="AW231" i="5"/>
  <c r="AF71" i="8"/>
  <c r="AR71" i="8" s="1"/>
  <c r="H71" i="8" s="1"/>
  <c r="AR40" i="5"/>
  <c r="AR193" i="5"/>
  <c r="AF212" i="8"/>
  <c r="AR212" i="8" s="1"/>
  <c r="H212" i="8" s="1"/>
  <c r="Q98" i="8"/>
  <c r="BA358" i="5"/>
  <c r="AO357" i="8"/>
  <c r="BA357" i="8" s="1"/>
  <c r="Y169" i="8"/>
  <c r="AV144" i="5"/>
  <c r="AP280" i="8"/>
  <c r="F280" i="8" s="1"/>
  <c r="AQ86" i="2"/>
  <c r="AC47" i="2"/>
  <c r="AP312" i="5"/>
  <c r="AD314" i="8"/>
  <c r="AP314" i="8" s="1"/>
  <c r="F314" i="8" s="1"/>
  <c r="AZ80" i="5"/>
  <c r="AC109" i="8"/>
  <c r="AZ136" i="8"/>
  <c r="P136" i="8" s="1"/>
  <c r="W328" i="8"/>
  <c r="AT327" i="5"/>
  <c r="BL92" i="2"/>
  <c r="AP243" i="5"/>
  <c r="AD254" i="8"/>
  <c r="AP96" i="5"/>
  <c r="AD125" i="8"/>
  <c r="AP125" i="8" s="1"/>
  <c r="AW94" i="5"/>
  <c r="Z123" i="8"/>
  <c r="AN283" i="5"/>
  <c r="AB290" i="8"/>
  <c r="AY283" i="5"/>
  <c r="W211" i="8"/>
  <c r="AT192" i="5"/>
  <c r="AU308" i="8"/>
  <c r="K308" i="8" s="1"/>
  <c r="X134" i="8"/>
  <c r="AV134" i="8" s="1"/>
  <c r="AU105" i="5"/>
  <c r="AN361" i="5"/>
  <c r="AB360" i="8"/>
  <c r="AY361" i="5"/>
  <c r="AW279" i="8"/>
  <c r="BA380" i="5"/>
  <c r="AO376" i="8"/>
  <c r="AX352" i="5"/>
  <c r="AA351" i="8"/>
  <c r="AY351" i="8" s="1"/>
  <c r="AC371" i="8"/>
  <c r="AZ375" i="5"/>
  <c r="AO2" i="8"/>
  <c r="BA5" i="5"/>
  <c r="AT84" i="5"/>
  <c r="W113" i="8"/>
  <c r="X199" i="8"/>
  <c r="AV199" i="8" s="1"/>
  <c r="AU177" i="5"/>
  <c r="AD271" i="8"/>
  <c r="AP271" i="8" s="1"/>
  <c r="F271" i="8" s="1"/>
  <c r="AP262" i="5"/>
  <c r="AC56" i="8"/>
  <c r="AZ23" i="5"/>
  <c r="AE2" i="8"/>
  <c r="AQ2" i="8" s="1"/>
  <c r="AQ5" i="5"/>
  <c r="X209" i="8"/>
  <c r="AU189" i="5"/>
  <c r="AN302" i="8"/>
  <c r="AZ302" i="8" s="1"/>
  <c r="P302" i="8" s="1"/>
  <c r="AZ295" i="5"/>
  <c r="Z313" i="8"/>
  <c r="AW311" i="5"/>
  <c r="Z225" i="8"/>
  <c r="AW210" i="5"/>
  <c r="U343" i="8"/>
  <c r="AR343" i="5"/>
  <c r="Z60" i="8"/>
  <c r="AX60" i="8" s="1"/>
  <c r="AW27" i="5"/>
  <c r="AD377" i="8"/>
  <c r="AP377" i="8" s="1"/>
  <c r="F377" i="8" s="1"/>
  <c r="AP381" i="5"/>
  <c r="AP136" i="8"/>
  <c r="F136" i="8" s="1"/>
  <c r="AX287" i="5"/>
  <c r="AA294" i="8"/>
  <c r="BA138" i="5"/>
  <c r="AO163" i="8"/>
  <c r="R61" i="8"/>
  <c r="AN29" i="5"/>
  <c r="AX109" i="5"/>
  <c r="AA138" i="8"/>
  <c r="BA318" i="5"/>
  <c r="AO320" i="8"/>
  <c r="BA320" i="8" s="1"/>
  <c r="Y316" i="8"/>
  <c r="AV314" i="5"/>
  <c r="AS377" i="5"/>
  <c r="V373" i="8"/>
  <c r="AT373" i="8" s="1"/>
  <c r="AR128" i="5"/>
  <c r="AF153" i="8"/>
  <c r="AR153" i="8" s="1"/>
  <c r="H153" i="8" s="1"/>
  <c r="AC36" i="2"/>
  <c r="AD56" i="8"/>
  <c r="AP56" i="8" s="1"/>
  <c r="AP23" i="5"/>
  <c r="Z97" i="8"/>
  <c r="AW68" i="5"/>
  <c r="AR110" i="5"/>
  <c r="AF139" i="8"/>
  <c r="AR139" i="8" s="1"/>
  <c r="H139" i="8" s="1"/>
  <c r="AC393" i="8"/>
  <c r="AZ400" i="5"/>
  <c r="L84" i="8"/>
  <c r="AC35" i="2"/>
  <c r="AP201" i="5"/>
  <c r="AD219" i="8"/>
  <c r="AP219" i="8" s="1"/>
  <c r="F219" i="8" s="1"/>
  <c r="AV78" i="8"/>
  <c r="AD149" i="8"/>
  <c r="AP149" i="8" s="1"/>
  <c r="F149" i="8" s="1"/>
  <c r="AP121" i="5"/>
  <c r="Y231" i="8"/>
  <c r="AV218" i="5"/>
  <c r="W351" i="8"/>
  <c r="AU351" i="8" s="1"/>
  <c r="AT352" i="5"/>
  <c r="BF95" i="2"/>
  <c r="Y263" i="8"/>
  <c r="AV253" i="5"/>
  <c r="BA255" i="5"/>
  <c r="AO264" i="8"/>
  <c r="W243" i="8"/>
  <c r="AT231" i="5"/>
  <c r="AO167" i="8"/>
  <c r="BA142" i="5"/>
  <c r="AC326" i="8"/>
  <c r="AZ324" i="5"/>
  <c r="U167" i="8"/>
  <c r="AR142" i="5"/>
  <c r="X261" i="8"/>
  <c r="AV261" i="8" s="1"/>
  <c r="AU251" i="5"/>
  <c r="R218" i="8"/>
  <c r="AN199" i="5"/>
  <c r="AA100" i="8"/>
  <c r="AX71" i="5"/>
  <c r="R46" i="8"/>
  <c r="AN10" i="5"/>
  <c r="U336" i="8"/>
  <c r="AR336" i="5"/>
  <c r="AA216" i="8"/>
  <c r="E30" i="3"/>
  <c r="AX197" i="5"/>
  <c r="BA222" i="5"/>
  <c r="AO235" i="8"/>
  <c r="AO169" i="8"/>
  <c r="BA144" i="5"/>
  <c r="AE135" i="8"/>
  <c r="AQ106" i="5"/>
  <c r="AO28" i="8"/>
  <c r="BA279" i="5"/>
  <c r="AO197" i="8"/>
  <c r="BA175" i="5"/>
  <c r="W284" i="8"/>
  <c r="AT276" i="5"/>
  <c r="R87" i="8"/>
  <c r="R59" i="8"/>
  <c r="AN26" i="5"/>
  <c r="Y11" i="8"/>
  <c r="AV125" i="5"/>
  <c r="AW394" i="5"/>
  <c r="AK387" i="8"/>
  <c r="Y356" i="8"/>
  <c r="AV357" i="5"/>
  <c r="AC66" i="2"/>
  <c r="S252" i="8"/>
  <c r="AP241" i="5"/>
  <c r="Z215" i="8"/>
  <c r="AX215" i="8" s="1"/>
  <c r="AW196" i="5"/>
  <c r="AT264" i="5"/>
  <c r="AN30" i="5"/>
  <c r="AW237" i="8"/>
  <c r="M237" i="8" s="1"/>
  <c r="AX167" i="5"/>
  <c r="I304" i="8"/>
  <c r="AX223" i="5"/>
  <c r="Q119" i="8"/>
  <c r="AW177" i="8"/>
  <c r="M177" i="8" s="1"/>
  <c r="AS365" i="5"/>
  <c r="L326" i="8"/>
  <c r="AN354" i="5"/>
  <c r="O381" i="8"/>
  <c r="AN135" i="5"/>
  <c r="AR153" i="5"/>
  <c r="L338" i="8"/>
  <c r="AN14" i="5"/>
  <c r="BA184" i="8"/>
  <c r="Q184" i="8" s="1"/>
  <c r="I222" i="8"/>
  <c r="AN88" i="5"/>
  <c r="AN102" i="5"/>
  <c r="AV215" i="5"/>
  <c r="AX118" i="5"/>
  <c r="AA146" i="8"/>
  <c r="Y229" i="8"/>
  <c r="AV216" i="5"/>
  <c r="W34" i="8"/>
  <c r="AU34" i="8" s="1"/>
  <c r="AT370" i="5"/>
  <c r="AF225" i="8"/>
  <c r="AR225" i="8" s="1"/>
  <c r="H225" i="8" s="1"/>
  <c r="AF41" i="2"/>
  <c r="AR210" i="5"/>
  <c r="AI41" i="2"/>
  <c r="AG41" i="2"/>
  <c r="BA214" i="5"/>
  <c r="AO22" i="8"/>
  <c r="AD310" i="8"/>
  <c r="AP310" i="8" s="1"/>
  <c r="F310" i="8" s="1"/>
  <c r="AP308" i="5"/>
  <c r="W155" i="8"/>
  <c r="AT130" i="5"/>
  <c r="Y202" i="8"/>
  <c r="AW202" i="8" s="1"/>
  <c r="AV181" i="5"/>
  <c r="X277" i="8"/>
  <c r="AV277" i="8" s="1"/>
  <c r="AU269" i="5"/>
  <c r="U337" i="8"/>
  <c r="AR337" i="5"/>
  <c r="AO224" i="8"/>
  <c r="BA209" i="5"/>
  <c r="AC285" i="8"/>
  <c r="AZ277" i="5"/>
  <c r="AF49" i="8"/>
  <c r="AR49" i="8" s="1"/>
  <c r="H49" i="8" s="1"/>
  <c r="AR14" i="5"/>
  <c r="AF65" i="2"/>
  <c r="AG65" i="2"/>
  <c r="AI65" i="2"/>
  <c r="AR226" i="5"/>
  <c r="AF239" i="8"/>
  <c r="AR239" i="8" s="1"/>
  <c r="H239" i="8" s="1"/>
  <c r="Y167" i="8"/>
  <c r="AV142" i="5"/>
  <c r="AL20" i="2"/>
  <c r="W102" i="8"/>
  <c r="AU102" i="8" s="1"/>
  <c r="AT73" i="5"/>
  <c r="Y228" i="8"/>
  <c r="AV213" i="5"/>
  <c r="AG274" i="8"/>
  <c r="AS266" i="5"/>
  <c r="AX359" i="5"/>
  <c r="AA358" i="8"/>
  <c r="AC14" i="8"/>
  <c r="AZ172" i="5"/>
  <c r="AN177" i="5"/>
  <c r="AB199" i="8"/>
  <c r="AZ199" i="8" s="1"/>
  <c r="AY177" i="5"/>
  <c r="Y377" i="8"/>
  <c r="AV381" i="5"/>
  <c r="AN228" i="5"/>
  <c r="R24" i="8"/>
  <c r="AR46" i="5"/>
  <c r="AF77" i="8"/>
  <c r="AR77" i="8" s="1"/>
  <c r="H77" i="8" s="1"/>
  <c r="Q131" i="8"/>
  <c r="X18" i="8"/>
  <c r="AU200" i="5"/>
  <c r="Z289" i="8"/>
  <c r="AW282" i="5"/>
  <c r="W289" i="8"/>
  <c r="AT282" i="5"/>
  <c r="AA28" i="8"/>
  <c r="AX279" i="5"/>
  <c r="AN146" i="5"/>
  <c r="R171" i="8"/>
  <c r="AN262" i="5"/>
  <c r="AB271" i="8"/>
  <c r="AY262" i="5"/>
  <c r="AQ79" i="5"/>
  <c r="AE108" i="8"/>
  <c r="AP36" i="5"/>
  <c r="AD67" i="8"/>
  <c r="AP67" i="8" s="1"/>
  <c r="F67" i="8" s="1"/>
  <c r="BA27" i="5"/>
  <c r="AO60" i="8"/>
  <c r="Y211" i="8"/>
  <c r="AV192" i="5"/>
  <c r="X303" i="8"/>
  <c r="AV303" i="8" s="1"/>
  <c r="AU297" i="5"/>
  <c r="U378" i="8"/>
  <c r="AS378" i="8" s="1"/>
  <c r="AR382" i="5"/>
  <c r="Y405" i="8"/>
  <c r="AV414" i="5"/>
  <c r="W354" i="8"/>
  <c r="AT355" i="5"/>
  <c r="AX277" i="5"/>
  <c r="AA285" i="8"/>
  <c r="AX140" i="8"/>
  <c r="AN65" i="5"/>
  <c r="R94" i="8"/>
  <c r="Y54" i="8"/>
  <c r="AV21" i="5"/>
  <c r="AX132" i="5"/>
  <c r="AA157" i="8"/>
  <c r="R273" i="8"/>
  <c r="AN264" i="5"/>
  <c r="AN226" i="5"/>
  <c r="AC207" i="8"/>
  <c r="AZ187" i="5"/>
  <c r="AS166" i="5"/>
  <c r="AG189" i="8"/>
  <c r="BA276" i="5"/>
  <c r="AO284" i="8"/>
  <c r="BA85" i="8"/>
  <c r="Q85" i="8" s="1"/>
  <c r="Y139" i="8"/>
  <c r="AV110" i="5"/>
  <c r="AN324" i="5"/>
  <c r="AY324" i="5"/>
  <c r="AM326" i="8"/>
  <c r="AY326" i="8" s="1"/>
  <c r="O326" i="8" s="1"/>
  <c r="Y62" i="8"/>
  <c r="AV30" i="5"/>
  <c r="BJ96" i="2"/>
  <c r="AW413" i="5"/>
  <c r="AK404" i="8"/>
  <c r="AW404" i="8" s="1"/>
  <c r="AZ144" i="5"/>
  <c r="AC169" i="8"/>
  <c r="U367" i="8"/>
  <c r="AR369" i="5"/>
  <c r="AF58" i="2"/>
  <c r="AG58" i="2"/>
  <c r="AI58" i="2"/>
  <c r="AF242" i="8"/>
  <c r="AR242" i="8" s="1"/>
  <c r="H242" i="8" s="1"/>
  <c r="AR230" i="5"/>
  <c r="AC316" i="8"/>
  <c r="AZ314" i="5"/>
  <c r="X330" i="8"/>
  <c r="AV330" i="8" s="1"/>
  <c r="AU329" i="5"/>
  <c r="W293" i="8"/>
  <c r="AT286" i="5"/>
  <c r="AN369" i="5"/>
  <c r="AB367" i="8"/>
  <c r="AZ367" i="8" s="1"/>
  <c r="AY369" i="5"/>
  <c r="W106" i="8"/>
  <c r="AT77" i="5"/>
  <c r="X13" i="8"/>
  <c r="AU159" i="5"/>
  <c r="W135" i="8"/>
  <c r="AT106" i="5"/>
  <c r="AO46" i="8"/>
  <c r="BA10" i="5"/>
  <c r="AY89" i="8"/>
  <c r="O89" i="8" s="1"/>
  <c r="E20" i="3"/>
  <c r="AX203" i="5"/>
  <c r="AA19" i="8"/>
  <c r="X342" i="8"/>
  <c r="AU342" i="5"/>
  <c r="X347" i="8"/>
  <c r="AU347" i="5"/>
  <c r="Y302" i="8"/>
  <c r="AV295" i="5"/>
  <c r="Z11" i="8"/>
  <c r="AX11" i="8" s="1"/>
  <c r="AW125" i="5"/>
  <c r="Z12" i="8"/>
  <c r="AW148" i="5"/>
  <c r="AC36" i="8"/>
  <c r="AZ392" i="5"/>
  <c r="AC185" i="8"/>
  <c r="AZ162" i="5"/>
  <c r="AC197" i="8"/>
  <c r="AZ175" i="5"/>
  <c r="Z233" i="8"/>
  <c r="AW220" i="5"/>
  <c r="AG175" i="8"/>
  <c r="AS151" i="5"/>
  <c r="Z282" i="8"/>
  <c r="AX282" i="8" s="1"/>
  <c r="AW274" i="5"/>
  <c r="Y322" i="8"/>
  <c r="AV320" i="5"/>
  <c r="AX306" i="8"/>
  <c r="N306" i="8" s="1"/>
  <c r="AZ356" i="8"/>
  <c r="AX273" i="5"/>
  <c r="AA281" i="8"/>
  <c r="AA203" i="8"/>
  <c r="AX182" i="5"/>
  <c r="Y13" i="8"/>
  <c r="AV159" i="5"/>
  <c r="AF118" i="8"/>
  <c r="AR118" i="8" s="1"/>
  <c r="H118" i="8" s="1"/>
  <c r="AR89" i="5"/>
  <c r="X46" i="8"/>
  <c r="AU10" i="5"/>
  <c r="AX44" i="8"/>
  <c r="AD191" i="8"/>
  <c r="AP168" i="5"/>
  <c r="AL65" i="2"/>
  <c r="W239" i="8"/>
  <c r="AT226" i="5"/>
  <c r="W50" i="8"/>
  <c r="AT15" i="5"/>
  <c r="BA130" i="5"/>
  <c r="AO155" i="8"/>
  <c r="K98" i="8"/>
  <c r="R303" i="8"/>
  <c r="AN297" i="5"/>
  <c r="Y71" i="8"/>
  <c r="AV40" i="5"/>
  <c r="AD247" i="8"/>
  <c r="AP247" i="8" s="1"/>
  <c r="F247" i="8" s="1"/>
  <c r="AP235" i="5"/>
  <c r="Y97" i="8"/>
  <c r="AV68" i="5"/>
  <c r="AG333" i="8"/>
  <c r="AS333" i="8" s="1"/>
  <c r="I333" i="8" s="1"/>
  <c r="AS333" i="5"/>
  <c r="W248" i="8"/>
  <c r="AT236" i="5"/>
  <c r="V357" i="8"/>
  <c r="AS358" i="5"/>
  <c r="X361" i="8"/>
  <c r="AV361" i="8" s="1"/>
  <c r="AU363" i="5"/>
  <c r="W307" i="8"/>
  <c r="AU307" i="8" s="1"/>
  <c r="AT305" i="5"/>
  <c r="AL46" i="2"/>
  <c r="AP352" i="5"/>
  <c r="AD351" i="8"/>
  <c r="AP351" i="8" s="1"/>
  <c r="F351" i="8" s="1"/>
  <c r="Y103" i="8"/>
  <c r="AV74" i="5"/>
  <c r="AY304" i="5"/>
  <c r="AM306" i="8"/>
  <c r="AY306" i="8" s="1"/>
  <c r="O306" i="8" s="1"/>
  <c r="AN304" i="5"/>
  <c r="R146" i="8"/>
  <c r="AN118" i="5"/>
  <c r="Z371" i="8"/>
  <c r="AW375" i="5"/>
  <c r="AP259" i="5"/>
  <c r="AD268" i="8"/>
  <c r="X377" i="8"/>
  <c r="AV377" i="8" s="1"/>
  <c r="AU381" i="5"/>
  <c r="W347" i="8"/>
  <c r="AU347" i="8" s="1"/>
  <c r="AT347" i="5"/>
  <c r="AX291" i="5"/>
  <c r="AA298" i="8"/>
  <c r="AX12" i="5"/>
  <c r="AA3" i="8"/>
  <c r="AX195" i="5"/>
  <c r="AA214" i="8"/>
  <c r="AP239" i="8"/>
  <c r="F239" i="8" s="1"/>
  <c r="X152" i="8"/>
  <c r="AV152" i="8" s="1"/>
  <c r="AU127" i="5"/>
  <c r="AO289" i="8"/>
  <c r="BA282" i="5"/>
  <c r="X316" i="8"/>
  <c r="AV316" i="8" s="1"/>
  <c r="AU314" i="5"/>
  <c r="AP324" i="5"/>
  <c r="AD326" i="8"/>
  <c r="AP326" i="8" s="1"/>
  <c r="F326" i="8" s="1"/>
  <c r="X282" i="8"/>
  <c r="AU274" i="5"/>
  <c r="AW5" i="5"/>
  <c r="Z2" i="8"/>
  <c r="AX2" i="8" s="1"/>
  <c r="Z134" i="8"/>
  <c r="AW105" i="5"/>
  <c r="AF69" i="8"/>
  <c r="AR69" i="8" s="1"/>
  <c r="H69" i="8" s="1"/>
  <c r="AR38" i="5"/>
  <c r="AF181" i="8"/>
  <c r="AR181" i="8" s="1"/>
  <c r="H181" i="8" s="1"/>
  <c r="AR157" i="5"/>
  <c r="BA356" i="5"/>
  <c r="AO355" i="8"/>
  <c r="AP311" i="5"/>
  <c r="AD313" i="8"/>
  <c r="AP313" i="8" s="1"/>
  <c r="F313" i="8" s="1"/>
  <c r="AC42" i="8"/>
  <c r="AZ6" i="5"/>
  <c r="AF364" i="8"/>
  <c r="AR364" i="8" s="1"/>
  <c r="H364" i="8" s="1"/>
  <c r="AI50" i="2"/>
  <c r="AG50" i="2"/>
  <c r="AL48" i="2"/>
  <c r="W312" i="8"/>
  <c r="AT310" i="5"/>
  <c r="S157" i="8"/>
  <c r="AP132" i="5"/>
  <c r="AX213" i="5"/>
  <c r="AA228" i="8"/>
  <c r="AO246" i="8"/>
  <c r="BA246" i="8" s="1"/>
  <c r="BA234" i="5"/>
  <c r="AY205" i="8"/>
  <c r="O205" i="8" s="1"/>
  <c r="AX120" i="5"/>
  <c r="AA148" i="8"/>
  <c r="BA89" i="5"/>
  <c r="AO118" i="8"/>
  <c r="AX63" i="8"/>
  <c r="X44" i="8"/>
  <c r="AU8" i="5"/>
  <c r="BI95" i="2"/>
  <c r="BA377" i="5"/>
  <c r="AO373" i="8"/>
  <c r="AX353" i="5"/>
  <c r="AA352" i="8"/>
  <c r="AY352" i="8" s="1"/>
  <c r="AC374" i="8"/>
  <c r="AZ378" i="5"/>
  <c r="AV59" i="8"/>
  <c r="AO260" i="8"/>
  <c r="BA250" i="5"/>
  <c r="W66" i="8"/>
  <c r="AT35" i="5"/>
  <c r="X51" i="8"/>
  <c r="AV51" i="8" s="1"/>
  <c r="AU16" i="5"/>
  <c r="X169" i="8"/>
  <c r="AV169" i="8" s="1"/>
  <c r="AU144" i="5"/>
  <c r="U161" i="8"/>
  <c r="AR136" i="5"/>
  <c r="AZ298" i="8"/>
  <c r="R287" i="8"/>
  <c r="AN280" i="5"/>
  <c r="AW15" i="5"/>
  <c r="Z50" i="8"/>
  <c r="W59" i="8"/>
  <c r="AU59" i="8" s="1"/>
  <c r="AT26" i="5"/>
  <c r="AF276" i="8"/>
  <c r="AR276" i="8" s="1"/>
  <c r="H276" i="8" s="1"/>
  <c r="AR268" i="5"/>
  <c r="AX307" i="8"/>
  <c r="N307" i="8" s="1"/>
  <c r="AD374" i="8"/>
  <c r="AP374" i="8" s="1"/>
  <c r="F374" i="8" s="1"/>
  <c r="AP378" i="5"/>
  <c r="AC67" i="2"/>
  <c r="AX288" i="5"/>
  <c r="AA295" i="8"/>
  <c r="S203" i="8"/>
  <c r="AP182" i="5"/>
  <c r="AN109" i="5"/>
  <c r="R138" i="8"/>
  <c r="AZ10" i="5"/>
  <c r="AC46" i="8"/>
  <c r="AN8" i="5"/>
  <c r="AB44" i="8"/>
  <c r="AZ44" i="8" s="1"/>
  <c r="AY8" i="5"/>
  <c r="AX87" i="5"/>
  <c r="AA116" i="8"/>
  <c r="BA313" i="5"/>
  <c r="AO315" i="8"/>
  <c r="AC27" i="8"/>
  <c r="AZ265" i="5"/>
  <c r="V372" i="8"/>
  <c r="AS376" i="5"/>
  <c r="AR140" i="5"/>
  <c r="AF165" i="8"/>
  <c r="AR165" i="8" s="1"/>
  <c r="H165" i="8" s="1"/>
  <c r="AR126" i="5"/>
  <c r="AF151" i="8"/>
  <c r="AR151" i="8" s="1"/>
  <c r="H151" i="8" s="1"/>
  <c r="AC195" i="8"/>
  <c r="AZ173" i="5"/>
  <c r="R42" i="8"/>
  <c r="AN6" i="5"/>
  <c r="R28" i="8"/>
  <c r="AN279" i="5"/>
  <c r="AD72" i="8"/>
  <c r="AP41" i="5"/>
  <c r="Y133" i="8"/>
  <c r="AV104" i="5"/>
  <c r="AW412" i="5"/>
  <c r="AK403" i="8"/>
  <c r="AW403" i="8" s="1"/>
  <c r="S280" i="8"/>
  <c r="AP272" i="5"/>
  <c r="W362" i="8"/>
  <c r="AT364" i="5"/>
  <c r="Y262" i="8"/>
  <c r="AV252" i="5"/>
  <c r="AO109" i="8"/>
  <c r="BA80" i="5"/>
  <c r="W148" i="8"/>
  <c r="AT120" i="5"/>
  <c r="AO153" i="8"/>
  <c r="BA128" i="5"/>
  <c r="AC333" i="8"/>
  <c r="AZ333" i="5"/>
  <c r="AX265" i="5"/>
  <c r="AA27" i="8"/>
  <c r="AN239" i="5"/>
  <c r="AC22" i="8"/>
  <c r="AZ214" i="5"/>
  <c r="AR122" i="5"/>
  <c r="AF150" i="8"/>
  <c r="AR150" i="8" s="1"/>
  <c r="H150" i="8" s="1"/>
  <c r="AQ104" i="5"/>
  <c r="AE133" i="8"/>
  <c r="AQ133" i="8" s="1"/>
  <c r="AT40" i="5"/>
  <c r="W71" i="8"/>
  <c r="U320" i="8"/>
  <c r="AR318" i="5"/>
  <c r="AC65" i="2"/>
  <c r="S239" i="8"/>
  <c r="AP226" i="5"/>
  <c r="AA213" i="8"/>
  <c r="AX194" i="5"/>
  <c r="AO223" i="8"/>
  <c r="BA223" i="8" s="1"/>
  <c r="BA208" i="5"/>
  <c r="AC388" i="8"/>
  <c r="AZ395" i="5"/>
  <c r="AV312" i="8"/>
  <c r="AE137" i="8"/>
  <c r="AQ108" i="5"/>
  <c r="BA243" i="5"/>
  <c r="AO254" i="8"/>
  <c r="AO199" i="8"/>
  <c r="BA177" i="5"/>
  <c r="W257" i="8"/>
  <c r="AT246" i="5"/>
  <c r="K104" i="8"/>
  <c r="AN57" i="5"/>
  <c r="R86" i="8"/>
  <c r="R57" i="8"/>
  <c r="AN24" i="5"/>
  <c r="Y155" i="8"/>
  <c r="AV130" i="5"/>
  <c r="AK398" i="8"/>
  <c r="AW406" i="5"/>
  <c r="Q133" i="5"/>
  <c r="AH158" i="8" s="1"/>
  <c r="AT158" i="8" s="1"/>
  <c r="J158" i="8" s="1"/>
  <c r="K2" i="12"/>
  <c r="Y33" i="8"/>
  <c r="AV362" i="5"/>
  <c r="Z365" i="8"/>
  <c r="AW367" i="5"/>
  <c r="Z68" i="8"/>
  <c r="AX68" i="8" s="1"/>
  <c r="AW37" i="5"/>
  <c r="AY275" i="8"/>
  <c r="O275" i="8" s="1"/>
  <c r="AZ99" i="5"/>
  <c r="AU161" i="5"/>
  <c r="AW292" i="5"/>
  <c r="AU51" i="5"/>
  <c r="N86" i="8"/>
  <c r="AP146" i="5"/>
  <c r="AW381" i="8"/>
  <c r="M381" i="8" s="1"/>
  <c r="AN321" i="5"/>
  <c r="K188" i="8"/>
  <c r="AN93" i="5"/>
  <c r="N128" i="8"/>
  <c r="AZ161" i="5"/>
  <c r="J363" i="8"/>
  <c r="L129" i="8"/>
  <c r="AZ195" i="5"/>
  <c r="AP299" i="8"/>
  <c r="BA367" i="8"/>
  <c r="AN121" i="5"/>
  <c r="F49" i="8"/>
  <c r="AX355" i="5"/>
  <c r="F131" i="8"/>
  <c r="AN331" i="5"/>
  <c r="AT223" i="5"/>
  <c r="AS61" i="8"/>
  <c r="I61" i="8" s="1"/>
  <c r="AW23" i="8"/>
  <c r="M23" i="8" s="1"/>
  <c r="AX262" i="5"/>
  <c r="AA271" i="8"/>
  <c r="AX266" i="5"/>
  <c r="AA274" i="8"/>
  <c r="AC133" i="8"/>
  <c r="AZ104" i="5"/>
  <c r="AD44" i="2"/>
  <c r="AE4" i="8"/>
  <c r="AQ28" i="5"/>
  <c r="AO294" i="8"/>
  <c r="BA287" i="5"/>
  <c r="W184" i="8"/>
  <c r="AT161" i="5"/>
  <c r="AL27" i="2"/>
  <c r="AN64" i="5"/>
  <c r="R93" i="8"/>
  <c r="AP93" i="8" s="1"/>
  <c r="AN275" i="5"/>
  <c r="AB283" i="8"/>
  <c r="AZ283" i="8" s="1"/>
  <c r="AY275" i="5"/>
  <c r="AD198" i="8"/>
  <c r="AP198" i="8" s="1"/>
  <c r="F198" i="8" s="1"/>
  <c r="AP176" i="5"/>
  <c r="AF178" i="8"/>
  <c r="AR178" i="8" s="1"/>
  <c r="H178" i="8" s="1"/>
  <c r="AR154" i="5"/>
  <c r="AC45" i="8"/>
  <c r="AZ9" i="5"/>
  <c r="AN232" i="8"/>
  <c r="AZ232" i="8" s="1"/>
  <c r="P232" i="8" s="1"/>
  <c r="AZ219" i="5"/>
  <c r="Y203" i="8"/>
  <c r="AW203" i="8" s="1"/>
  <c r="AV182" i="5"/>
  <c r="Y353" i="8"/>
  <c r="AV354" i="5"/>
  <c r="AG336" i="8"/>
  <c r="AS336" i="5"/>
  <c r="AO245" i="8"/>
  <c r="BA245" i="8" s="1"/>
  <c r="BA233" i="5"/>
  <c r="AG281" i="8"/>
  <c r="AS273" i="5"/>
  <c r="Y285" i="8"/>
  <c r="AV277" i="5"/>
  <c r="BA111" i="5"/>
  <c r="AO140" i="8"/>
  <c r="BA140" i="8" s="1"/>
  <c r="S217" i="8"/>
  <c r="AP198" i="5"/>
  <c r="AX217" i="5"/>
  <c r="AA230" i="8"/>
  <c r="K220" i="8"/>
  <c r="AF290" i="8"/>
  <c r="AR290" i="8" s="1"/>
  <c r="H290" i="8" s="1"/>
  <c r="AR283" i="5"/>
  <c r="AV116" i="5"/>
  <c r="AJ144" i="8"/>
  <c r="AV144" i="8" s="1"/>
  <c r="L144" i="8" s="1"/>
  <c r="E21" i="3"/>
  <c r="AX205" i="5"/>
  <c r="AA21" i="8"/>
  <c r="AC47" i="8"/>
  <c r="AZ11" i="5"/>
  <c r="W241" i="8"/>
  <c r="AT229" i="5"/>
  <c r="AS350" i="5"/>
  <c r="AG350" i="8"/>
  <c r="AS350" i="8" s="1"/>
  <c r="I350" i="8" s="1"/>
  <c r="AC260" i="8"/>
  <c r="AZ250" i="5"/>
  <c r="AV5" i="5"/>
  <c r="Y2" i="8"/>
  <c r="AC349" i="8"/>
  <c r="AZ349" i="5"/>
  <c r="AH38" i="8"/>
  <c r="AT38" i="8" s="1"/>
  <c r="J38" i="8" s="1"/>
  <c r="AT407" i="5"/>
  <c r="AN407" i="5"/>
  <c r="AC265" i="8"/>
  <c r="AZ256" i="5"/>
  <c r="AD213" i="8"/>
  <c r="AP213" i="8" s="1"/>
  <c r="AP194" i="5"/>
  <c r="AX86" i="5"/>
  <c r="AA115" i="8"/>
  <c r="AC96" i="8"/>
  <c r="AZ67" i="5"/>
  <c r="Y46" i="8"/>
  <c r="AV10" i="5"/>
  <c r="AN80" i="5"/>
  <c r="AY80" i="5"/>
  <c r="AB109" i="8"/>
  <c r="AZ109" i="8" s="1"/>
  <c r="X310" i="8"/>
  <c r="AV310" i="8" s="1"/>
  <c r="AU308" i="5"/>
  <c r="AX222" i="5"/>
  <c r="AA235" i="8"/>
  <c r="W35" i="8"/>
  <c r="AU35" i="8" s="1"/>
  <c r="AT374" i="5"/>
  <c r="W167" i="8"/>
  <c r="AT142" i="5"/>
  <c r="W368" i="8"/>
  <c r="AU368" i="8" s="1"/>
  <c r="AT371" i="5"/>
  <c r="AD173" i="8"/>
  <c r="AP149" i="5"/>
  <c r="Z279" i="8"/>
  <c r="AX279" i="8" s="1"/>
  <c r="AW271" i="5"/>
  <c r="AF2" i="8"/>
  <c r="AR2" i="8" s="1"/>
  <c r="H2" i="8" s="1"/>
  <c r="AR5" i="5"/>
  <c r="AX209" i="8"/>
  <c r="AC149" i="8"/>
  <c r="AZ121" i="5"/>
  <c r="AC168" i="8"/>
  <c r="AZ143" i="5"/>
  <c r="AV62" i="8"/>
  <c r="L62" i="8" s="1"/>
  <c r="AC248" i="8"/>
  <c r="AZ236" i="5"/>
  <c r="AR211" i="5"/>
  <c r="AF226" i="8"/>
  <c r="AR226" i="8" s="1"/>
  <c r="H226" i="8" s="1"/>
  <c r="AO27" i="8"/>
  <c r="BA265" i="5"/>
  <c r="X182" i="8"/>
  <c r="AV182" i="8" s="1"/>
  <c r="AU158" i="5"/>
  <c r="AN212" i="5"/>
  <c r="R227" i="8"/>
  <c r="AP227" i="8" s="1"/>
  <c r="Z277" i="8"/>
  <c r="AW269" i="5"/>
  <c r="Y205" i="8"/>
  <c r="AW205" i="8" s="1"/>
  <c r="AV185" i="5"/>
  <c r="BA212" i="5"/>
  <c r="AO227" i="8"/>
  <c r="AP304" i="5"/>
  <c r="AD306" i="8"/>
  <c r="AP306" i="8" s="1"/>
  <c r="F306" i="8" s="1"/>
  <c r="AC60" i="2"/>
  <c r="X352" i="8"/>
  <c r="AV352" i="8" s="1"/>
  <c r="AU353" i="5"/>
  <c r="AC298" i="8"/>
  <c r="AZ291" i="5"/>
  <c r="AY320" i="5"/>
  <c r="AM322" i="8"/>
  <c r="AY322" i="8" s="1"/>
  <c r="O322" i="8" s="1"/>
  <c r="AN320" i="5"/>
  <c r="AX233" i="5"/>
  <c r="AA245" i="8"/>
  <c r="AN172" i="5"/>
  <c r="R14" i="8"/>
  <c r="W212" i="8"/>
  <c r="AT193" i="5"/>
  <c r="AQ129" i="5"/>
  <c r="AE154" i="8"/>
  <c r="R96" i="8"/>
  <c r="AN67" i="5"/>
  <c r="AV50" i="8"/>
  <c r="AG321" i="8"/>
  <c r="AS319" i="5"/>
  <c r="AX249" i="5"/>
  <c r="AA259" i="8"/>
  <c r="Y153" i="8"/>
  <c r="AV128" i="5"/>
  <c r="O23" i="5"/>
  <c r="AN23" i="5" s="1"/>
  <c r="AG56" i="8"/>
  <c r="AS56" i="8" s="1"/>
  <c r="AO208" i="8"/>
  <c r="BA188" i="5"/>
  <c r="W196" i="8"/>
  <c r="AT174" i="5"/>
  <c r="AP52" i="5"/>
  <c r="AD81" i="8"/>
  <c r="AP81" i="8" s="1"/>
  <c r="F81" i="8" s="1"/>
  <c r="X140" i="8"/>
  <c r="AU111" i="5"/>
  <c r="Y233" i="8"/>
  <c r="AV220" i="5"/>
  <c r="Y291" i="8"/>
  <c r="AV284" i="5"/>
  <c r="AG196" i="8"/>
  <c r="AS174" i="5"/>
  <c r="AS217" i="5"/>
  <c r="AG230" i="8"/>
  <c r="AW89" i="2"/>
  <c r="AX358" i="5"/>
  <c r="AA357" i="8"/>
  <c r="AY357" i="8" s="1"/>
  <c r="AF33" i="8"/>
  <c r="AR33" i="8" s="1"/>
  <c r="H33" i="8" s="1"/>
  <c r="AI51" i="2"/>
  <c r="AG51" i="2"/>
  <c r="AO316" i="8"/>
  <c r="BA314" i="5"/>
  <c r="AP238" i="8"/>
  <c r="F238" i="8" s="1"/>
  <c r="AK388" i="8"/>
  <c r="AW395" i="5"/>
  <c r="AP95" i="2"/>
  <c r="AN261" i="5"/>
  <c r="R270" i="8"/>
  <c r="AD265" i="8"/>
  <c r="AP256" i="5"/>
  <c r="AO12" i="8"/>
  <c r="BA148" i="5"/>
  <c r="AD96" i="8"/>
  <c r="AP67" i="5"/>
  <c r="AT10" i="5"/>
  <c r="W46" i="8"/>
  <c r="Z320" i="8"/>
  <c r="AW318" i="5"/>
  <c r="AX135" i="5"/>
  <c r="AA160" i="8"/>
  <c r="AN317" i="5"/>
  <c r="AY317" i="5"/>
  <c r="AM319" i="8"/>
  <c r="AY319" i="8" s="1"/>
  <c r="O319" i="8" s="1"/>
  <c r="Y371" i="8"/>
  <c r="AV375" i="5"/>
  <c r="AT265" i="5"/>
  <c r="W27" i="8"/>
  <c r="AC15" i="8"/>
  <c r="AZ180" i="5"/>
  <c r="AU28" i="5"/>
  <c r="X4" i="8"/>
  <c r="AJ380" i="8"/>
  <c r="AV380" i="8" s="1"/>
  <c r="L380" i="8" s="1"/>
  <c r="B380" i="8" s="1"/>
  <c r="AV387" i="5"/>
  <c r="AN387" i="5"/>
  <c r="Z217" i="8"/>
  <c r="AX217" i="8" s="1"/>
  <c r="AW198" i="5"/>
  <c r="AF96" i="8"/>
  <c r="AR96" i="8" s="1"/>
  <c r="H96" i="8" s="1"/>
  <c r="AR67" i="5"/>
  <c r="AF199" i="8"/>
  <c r="AR199" i="8" s="1"/>
  <c r="H199" i="8" s="1"/>
  <c r="AR177" i="5"/>
  <c r="AC196" i="8"/>
  <c r="AZ174" i="5"/>
  <c r="X56" i="8"/>
  <c r="AV56" i="8" s="1"/>
  <c r="AU23" i="5"/>
  <c r="S169" i="8"/>
  <c r="AP144" i="5"/>
  <c r="AC287" i="8"/>
  <c r="AZ280" i="5"/>
  <c r="U12" i="8"/>
  <c r="AR148" i="5"/>
  <c r="AN175" i="5"/>
  <c r="Y74" i="8"/>
  <c r="AV43" i="5"/>
  <c r="X219" i="8"/>
  <c r="AV219" i="8" s="1"/>
  <c r="AU201" i="5"/>
  <c r="W290" i="8"/>
  <c r="AT283" i="5"/>
  <c r="V35" i="8"/>
  <c r="AS374" i="5"/>
  <c r="AC332" i="8"/>
  <c r="AZ332" i="5"/>
  <c r="Y275" i="8"/>
  <c r="AV267" i="5"/>
  <c r="BA184" i="5"/>
  <c r="AO204" i="8"/>
  <c r="AC123" i="8"/>
  <c r="AZ94" i="5"/>
  <c r="AA102" i="8"/>
  <c r="AX73" i="5"/>
  <c r="BF92" i="2"/>
  <c r="AO215" i="8"/>
  <c r="BA196" i="5"/>
  <c r="AQ77" i="5"/>
  <c r="AE106" i="8"/>
  <c r="AN342" i="5"/>
  <c r="AY342" i="5"/>
  <c r="AM342" i="8"/>
  <c r="AY342" i="8" s="1"/>
  <c r="O342" i="8" s="1"/>
  <c r="AK48" i="2"/>
  <c r="AS310" i="5"/>
  <c r="AG312" i="8"/>
  <c r="AS312" i="8" s="1"/>
  <c r="AO66" i="8"/>
  <c r="BA35" i="5"/>
  <c r="AN115" i="5"/>
  <c r="R143" i="8"/>
  <c r="AD44" i="8"/>
  <c r="AP44" i="8" s="1"/>
  <c r="F44" i="8" s="1"/>
  <c r="AP8" i="5"/>
  <c r="R300" i="8"/>
  <c r="AN293" i="5"/>
  <c r="AO92" i="2"/>
  <c r="AG57" i="2"/>
  <c r="AI57" i="2"/>
  <c r="AF295" i="8"/>
  <c r="AR295" i="8" s="1"/>
  <c r="H295" i="8" s="1"/>
  <c r="AR288" i="5"/>
  <c r="AF57" i="2"/>
  <c r="AF289" i="8"/>
  <c r="AR289" i="8" s="1"/>
  <c r="H289" i="8" s="1"/>
  <c r="AR282" i="5"/>
  <c r="AV10" i="8"/>
  <c r="Y17" i="8"/>
  <c r="AV190" i="5"/>
  <c r="AO276" i="8"/>
  <c r="BA268" i="5"/>
  <c r="Y350" i="8"/>
  <c r="AV350" i="5"/>
  <c r="AX284" i="5"/>
  <c r="AA291" i="8"/>
  <c r="Y261" i="8"/>
  <c r="AV251" i="5"/>
  <c r="AC254" i="8"/>
  <c r="AZ243" i="5"/>
  <c r="Y14" i="8"/>
  <c r="AV172" i="5"/>
  <c r="AZ34" i="5"/>
  <c r="AC65" i="8"/>
  <c r="AN5" i="5"/>
  <c r="AY5" i="5"/>
  <c r="AB2" i="8"/>
  <c r="AZ2" i="8" s="1"/>
  <c r="AL79" i="2"/>
  <c r="W315" i="8"/>
  <c r="AT313" i="5"/>
  <c r="W166" i="8"/>
  <c r="AU166" i="8" s="1"/>
  <c r="AT141" i="5"/>
  <c r="AV301" i="5"/>
  <c r="AS343" i="5"/>
  <c r="AG343" i="8"/>
  <c r="AW143" i="5"/>
  <c r="Z168" i="8"/>
  <c r="AC389" i="8"/>
  <c r="AZ396" i="5"/>
  <c r="AZ109" i="5"/>
  <c r="AC138" i="8"/>
  <c r="Y8" i="8"/>
  <c r="AV113" i="5"/>
  <c r="X195" i="8"/>
  <c r="AV195" i="8" s="1"/>
  <c r="AU173" i="5"/>
  <c r="U345" i="8"/>
  <c r="AR345" i="5"/>
  <c r="AU313" i="8"/>
  <c r="Y41" i="8"/>
  <c r="AV4" i="5"/>
  <c r="W276" i="8"/>
  <c r="AU276" i="8" s="1"/>
  <c r="AT268" i="5"/>
  <c r="AG28" i="8"/>
  <c r="AS279" i="5"/>
  <c r="Y86" i="8"/>
  <c r="AV57" i="5"/>
  <c r="U379" i="8"/>
  <c r="AR383" i="5"/>
  <c r="AG203" i="8"/>
  <c r="AS182" i="5"/>
  <c r="AC306" i="8"/>
  <c r="AZ304" i="5"/>
  <c r="X290" i="8"/>
  <c r="AV290" i="8" s="1"/>
  <c r="AU283" i="5"/>
  <c r="AP326" i="5"/>
  <c r="AD327" i="8"/>
  <c r="AP327" i="8" s="1"/>
  <c r="F327" i="8" s="1"/>
  <c r="Y399" i="8"/>
  <c r="AV408" i="5"/>
  <c r="AU349" i="8"/>
  <c r="X33" i="8"/>
  <c r="AV33" i="8" s="1"/>
  <c r="AU362" i="5"/>
  <c r="AC301" i="8"/>
  <c r="AZ294" i="5"/>
  <c r="AO229" i="8"/>
  <c r="BA229" i="8" s="1"/>
  <c r="Q229" i="8" s="1"/>
  <c r="BA216" i="5"/>
  <c r="AN184" i="5"/>
  <c r="R204" i="8"/>
  <c r="Y163" i="8"/>
  <c r="AV138" i="5"/>
  <c r="AA147" i="8"/>
  <c r="AX119" i="5"/>
  <c r="E34" i="3"/>
  <c r="AN142" i="5"/>
  <c r="R167" i="8"/>
  <c r="AJ133" i="5"/>
  <c r="X2" i="12"/>
  <c r="AO25" i="8"/>
  <c r="BA248" i="5"/>
  <c r="BA75" i="5"/>
  <c r="AO104" i="8"/>
  <c r="W280" i="8"/>
  <c r="AT272" i="5"/>
  <c r="Y400" i="8"/>
  <c r="AV409" i="5"/>
  <c r="Y151" i="8"/>
  <c r="AV126" i="5"/>
  <c r="AN322" i="5"/>
  <c r="AY322" i="5"/>
  <c r="AM324" i="8"/>
  <c r="AY324" i="8" s="1"/>
  <c r="O324" i="8" s="1"/>
  <c r="AV23" i="5"/>
  <c r="AW404" i="5"/>
  <c r="AK396" i="8"/>
  <c r="AS119" i="8"/>
  <c r="I119" i="8" s="1"/>
  <c r="U366" i="8"/>
  <c r="AS366" i="8" s="1"/>
  <c r="AR368" i="5"/>
  <c r="AZ205" i="8"/>
  <c r="P205" i="8" s="1"/>
  <c r="X346" i="8"/>
  <c r="AV346" i="8" s="1"/>
  <c r="AU346" i="5"/>
  <c r="AT287" i="5"/>
  <c r="W294" i="8"/>
  <c r="AN353" i="5"/>
  <c r="AB352" i="8"/>
  <c r="AY353" i="5"/>
  <c r="U347" i="8"/>
  <c r="AR347" i="5"/>
  <c r="AH400" i="8"/>
  <c r="AT400" i="8" s="1"/>
  <c r="J400" i="8" s="1"/>
  <c r="AT409" i="5"/>
  <c r="AN409" i="5"/>
  <c r="AX259" i="5"/>
  <c r="AA268" i="8"/>
  <c r="W201" i="8"/>
  <c r="AT179" i="5"/>
  <c r="AR155" i="5"/>
  <c r="AF179" i="8"/>
  <c r="AR179" i="8" s="1"/>
  <c r="H179" i="8" s="1"/>
  <c r="AC118" i="8"/>
  <c r="AZ89" i="5"/>
  <c r="Z26" i="8"/>
  <c r="AX26" i="8" s="1"/>
  <c r="AW254" i="5"/>
  <c r="AA249" i="8"/>
  <c r="AX237" i="5"/>
  <c r="X308" i="8"/>
  <c r="AU306" i="5"/>
  <c r="W231" i="8"/>
  <c r="AU231" i="8" s="1"/>
  <c r="AL43" i="2"/>
  <c r="AT218" i="5"/>
  <c r="AU337" i="8"/>
  <c r="X328" i="8"/>
  <c r="AV328" i="8" s="1"/>
  <c r="AU327" i="5"/>
  <c r="Y298" i="8"/>
  <c r="AV291" i="5"/>
  <c r="AU266" i="5"/>
  <c r="AI274" i="8"/>
  <c r="Z155" i="8"/>
  <c r="AX155" i="8" s="1"/>
  <c r="AW130" i="5"/>
  <c r="Z139" i="8"/>
  <c r="AX139" i="8" s="1"/>
  <c r="AW110" i="5"/>
  <c r="AF86" i="8"/>
  <c r="AR86" i="8" s="1"/>
  <c r="H86" i="8" s="1"/>
  <c r="AR57" i="5"/>
  <c r="AC406" i="8"/>
  <c r="AZ415" i="5"/>
  <c r="AC127" i="8"/>
  <c r="AZ98" i="5"/>
  <c r="AC199" i="8"/>
  <c r="AZ177" i="5"/>
  <c r="Z207" i="8"/>
  <c r="AX207" i="8" s="1"/>
  <c r="AW187" i="5"/>
  <c r="AG161" i="8"/>
  <c r="AS136" i="5"/>
  <c r="AW80" i="5"/>
  <c r="Z109" i="8"/>
  <c r="AN335" i="5"/>
  <c r="AY335" i="5"/>
  <c r="AM335" i="8"/>
  <c r="AY335" i="8" s="1"/>
  <c r="O335" i="8" s="1"/>
  <c r="Y346" i="8"/>
  <c r="AV346" i="5"/>
  <c r="U324" i="8"/>
  <c r="AR322" i="5"/>
  <c r="W302" i="8"/>
  <c r="AT295" i="5"/>
  <c r="AP172" i="5"/>
  <c r="AD14" i="8"/>
  <c r="AX105" i="5"/>
  <c r="AA134" i="8"/>
  <c r="S49" i="8"/>
  <c r="AP14" i="5"/>
  <c r="AX52" i="8"/>
  <c r="AD152" i="8"/>
  <c r="AP127" i="5"/>
  <c r="AT251" i="5"/>
  <c r="S48" i="8"/>
  <c r="AP13" i="5"/>
  <c r="BA125" i="5"/>
  <c r="AO11" i="8"/>
  <c r="R195" i="8"/>
  <c r="AP195" i="8" s="1"/>
  <c r="AN173" i="5"/>
  <c r="AN284" i="5"/>
  <c r="Y69" i="8"/>
  <c r="AV38" i="5"/>
  <c r="AD186" i="8"/>
  <c r="AP163" i="5"/>
  <c r="Y77" i="8"/>
  <c r="AV46" i="5"/>
  <c r="AG329" i="8"/>
  <c r="AS328" i="5"/>
  <c r="R128" i="8"/>
  <c r="AN99" i="5"/>
  <c r="W250" i="8"/>
  <c r="AT238" i="5"/>
  <c r="V368" i="8"/>
  <c r="AS371" i="5"/>
  <c r="X356" i="8"/>
  <c r="AU357" i="5"/>
  <c r="X357" i="8"/>
  <c r="AU358" i="5"/>
  <c r="AO300" i="8"/>
  <c r="BA293" i="5"/>
  <c r="BI89" i="2"/>
  <c r="AD366" i="8"/>
  <c r="AP366" i="8" s="1"/>
  <c r="F366" i="8" s="1"/>
  <c r="AP368" i="5"/>
  <c r="Y101" i="8"/>
  <c r="AV72" i="5"/>
  <c r="AN49" i="5"/>
  <c r="R7" i="8"/>
  <c r="Z376" i="8"/>
  <c r="AX376" i="8" s="1"/>
  <c r="AW380" i="5"/>
  <c r="AP157" i="8"/>
  <c r="X29" i="8"/>
  <c r="AV29" i="8" s="1"/>
  <c r="AU296" i="5"/>
  <c r="Y22" i="8"/>
  <c r="AV214" i="5"/>
  <c r="AO261" i="8"/>
  <c r="BA251" i="5"/>
  <c r="BA152" i="5"/>
  <c r="AO176" i="8"/>
  <c r="AX40" i="8"/>
  <c r="AX193" i="5"/>
  <c r="AA212" i="8"/>
  <c r="AC336" i="8"/>
  <c r="AZ336" i="5"/>
  <c r="AA75" i="8"/>
  <c r="E33" i="3"/>
  <c r="AX44" i="5"/>
  <c r="BA283" i="5"/>
  <c r="AO290" i="8"/>
  <c r="BA290" i="8" s="1"/>
  <c r="AC277" i="8"/>
  <c r="AZ269" i="5"/>
  <c r="Z369" i="8"/>
  <c r="AW372" i="5"/>
  <c r="AD346" i="8"/>
  <c r="AP346" i="8" s="1"/>
  <c r="F346" i="8" s="1"/>
  <c r="AP346" i="5"/>
  <c r="X264" i="8"/>
  <c r="AV264" i="8" s="1"/>
  <c r="AU255" i="5"/>
  <c r="Z138" i="8"/>
  <c r="AW109" i="5"/>
  <c r="Z8" i="8"/>
  <c r="AW113" i="5"/>
  <c r="AR42" i="5"/>
  <c r="AF73" i="8"/>
  <c r="AR73" i="8" s="1"/>
  <c r="H73" i="8" s="1"/>
  <c r="AR143" i="5"/>
  <c r="AF168" i="8"/>
  <c r="AR168" i="8" s="1"/>
  <c r="H168" i="8" s="1"/>
  <c r="AC279" i="8"/>
  <c r="AZ271" i="5"/>
  <c r="BA361" i="5"/>
  <c r="AO360" i="8"/>
  <c r="M98" i="8"/>
  <c r="AC368" i="8"/>
  <c r="AZ371" i="5"/>
  <c r="AN107" i="5"/>
  <c r="BA309" i="5"/>
  <c r="AO311" i="8"/>
  <c r="X281" i="8"/>
  <c r="AU273" i="5"/>
  <c r="AA191" i="8"/>
  <c r="AX168" i="5"/>
  <c r="AX78" i="8"/>
  <c r="X67" i="8"/>
  <c r="AU36" i="5"/>
  <c r="AK208" i="8"/>
  <c r="AW188" i="5"/>
  <c r="BA376" i="5"/>
  <c r="AO372" i="8"/>
  <c r="AX364" i="5"/>
  <c r="AA362" i="8"/>
  <c r="AC378" i="8"/>
  <c r="AZ382" i="5"/>
  <c r="AP165" i="8"/>
  <c r="AV57" i="8"/>
  <c r="BA109" i="5"/>
  <c r="AO138" i="8"/>
  <c r="W110" i="8"/>
  <c r="AT81" i="5"/>
  <c r="X53" i="8"/>
  <c r="AV53" i="8" s="1"/>
  <c r="AU18" i="5"/>
  <c r="AD86" i="8"/>
  <c r="AP57" i="5"/>
  <c r="AZ295" i="8"/>
  <c r="P295" i="8" s="1"/>
  <c r="AN231" i="5"/>
  <c r="R243" i="8"/>
  <c r="W58" i="8"/>
  <c r="AU58" i="8" s="1"/>
  <c r="AT25" i="5"/>
  <c r="AR213" i="5"/>
  <c r="AF228" i="8"/>
  <c r="AR228" i="8" s="1"/>
  <c r="H228" i="8" s="1"/>
  <c r="K24" i="8"/>
  <c r="AD68" i="8"/>
  <c r="AP68" i="8" s="1"/>
  <c r="F68" i="8" s="1"/>
  <c r="AP37" i="5"/>
  <c r="AT412" i="5"/>
  <c r="AH403" i="8"/>
  <c r="AT403" i="8" s="1"/>
  <c r="J403" i="8" s="1"/>
  <c r="AN412" i="5"/>
  <c r="AX257" i="5"/>
  <c r="AA266" i="8"/>
  <c r="R225" i="8"/>
  <c r="AN210" i="5"/>
  <c r="AX121" i="5"/>
  <c r="AA149" i="8"/>
  <c r="Y49" i="8"/>
  <c r="AV14" i="5"/>
  <c r="AL76" i="2"/>
  <c r="W116" i="8"/>
  <c r="AT87" i="5"/>
  <c r="AX32" i="5"/>
  <c r="AA63" i="8"/>
  <c r="BA308" i="5"/>
  <c r="AO310" i="8"/>
  <c r="AO251" i="8"/>
  <c r="BA239" i="5"/>
  <c r="AC269" i="8"/>
  <c r="AZ260" i="5"/>
  <c r="AT379" i="8"/>
  <c r="V378" i="8"/>
  <c r="AT378" i="8" s="1"/>
  <c r="AS382" i="5"/>
  <c r="AR108" i="5"/>
  <c r="AF137" i="8"/>
  <c r="AR137" i="8" s="1"/>
  <c r="H137" i="8" s="1"/>
  <c r="AI286" i="8"/>
  <c r="AU286" i="8" s="1"/>
  <c r="AU278" i="5"/>
  <c r="N280" i="8"/>
  <c r="AF141" i="8"/>
  <c r="AR141" i="8" s="1"/>
  <c r="H141" i="8" s="1"/>
  <c r="AR112" i="5"/>
  <c r="AC103" i="8"/>
  <c r="AZ74" i="5"/>
  <c r="L304" i="8"/>
  <c r="AO281" i="8"/>
  <c r="BA273" i="5"/>
  <c r="AN243" i="5"/>
  <c r="R254" i="8"/>
  <c r="R154" i="8"/>
  <c r="AP154" i="8" s="1"/>
  <c r="AN129" i="5"/>
  <c r="AP47" i="5"/>
  <c r="AD78" i="8"/>
  <c r="AP78" i="8" s="1"/>
  <c r="W353" i="8"/>
  <c r="AT354" i="5"/>
  <c r="AX358" i="8"/>
  <c r="Y143" i="8"/>
  <c r="AV115" i="5"/>
  <c r="AO42" i="8"/>
  <c r="BA6" i="5"/>
  <c r="W134" i="8"/>
  <c r="AT105" i="5"/>
  <c r="BA140" i="5"/>
  <c r="AO165" i="8"/>
  <c r="AC346" i="8"/>
  <c r="AZ346" i="5"/>
  <c r="AN338" i="5"/>
  <c r="AM338" i="8"/>
  <c r="AY338" i="8" s="1"/>
  <c r="O338" i="8" s="1"/>
  <c r="AY338" i="5"/>
  <c r="R259" i="8"/>
  <c r="AN249" i="5"/>
  <c r="AN152" i="5"/>
  <c r="R176" i="8"/>
  <c r="AP176" i="8" s="1"/>
  <c r="AC179" i="8"/>
  <c r="AZ155" i="5"/>
  <c r="AC70" i="8"/>
  <c r="AZ39" i="5"/>
  <c r="U319" i="8"/>
  <c r="AR317" i="5"/>
  <c r="AX269" i="8"/>
  <c r="AX151" i="5"/>
  <c r="AA175" i="8"/>
  <c r="AO206" i="8"/>
  <c r="BA206" i="8" s="1"/>
  <c r="BA186" i="5"/>
  <c r="AC235" i="8"/>
  <c r="AZ222" i="5"/>
  <c r="AD19" i="2"/>
  <c r="AQ9" i="5"/>
  <c r="AE45" i="8"/>
  <c r="AE147" i="8"/>
  <c r="AQ119" i="5"/>
  <c r="AV381" i="8"/>
  <c r="L381" i="8" s="1"/>
  <c r="BA162" i="5"/>
  <c r="AO185" i="8"/>
  <c r="BA129" i="5"/>
  <c r="AO154" i="8"/>
  <c r="BA154" i="8" s="1"/>
  <c r="W25" i="8"/>
  <c r="AT248" i="5"/>
  <c r="AT75" i="5"/>
  <c r="AP278" i="5"/>
  <c r="AD286" i="8"/>
  <c r="AP286" i="8" s="1"/>
  <c r="F286" i="8" s="1"/>
  <c r="R55" i="8"/>
  <c r="AN22" i="5"/>
  <c r="AC292" i="8"/>
  <c r="AZ285" i="5"/>
  <c r="Y102" i="8"/>
  <c r="AV73" i="5"/>
  <c r="AV363" i="8"/>
  <c r="AW397" i="5"/>
  <c r="AK390" i="8"/>
  <c r="AG41" i="8"/>
  <c r="AS41" i="8" s="1"/>
  <c r="AS4" i="5"/>
  <c r="Y360" i="8"/>
  <c r="AV361" i="5"/>
  <c r="Y368" i="8"/>
  <c r="AV371" i="5"/>
  <c r="Z363" i="8"/>
  <c r="AX363" i="8" s="1"/>
  <c r="AW365" i="5"/>
  <c r="BA224" i="5"/>
  <c r="AO237" i="8"/>
  <c r="BA237" i="8" s="1"/>
  <c r="AX267" i="5"/>
  <c r="AT357" i="5"/>
  <c r="Q128" i="8"/>
  <c r="L184" i="8"/>
  <c r="K89" i="8"/>
  <c r="N299" i="8"/>
  <c r="L80" i="8"/>
  <c r="P210" i="8"/>
  <c r="AW126" i="8"/>
  <c r="M126" i="8" s="1"/>
  <c r="G171" i="8"/>
  <c r="AN250" i="5"/>
  <c r="AP75" i="8"/>
  <c r="F75" i="8" s="1"/>
  <c r="AN181" i="5"/>
  <c r="BA49" i="8"/>
  <c r="Q49" i="8" s="1"/>
  <c r="K14" i="8"/>
  <c r="AZ342" i="5"/>
  <c r="AV165" i="5"/>
  <c r="AN347" i="5"/>
  <c r="I144" i="8"/>
  <c r="P141" i="8"/>
  <c r="AN145" i="5"/>
  <c r="I381" i="8"/>
  <c r="O354" i="8"/>
  <c r="K159" i="8"/>
  <c r="J381" i="8"/>
  <c r="AU236" i="8"/>
  <c r="K236" i="8" s="1"/>
  <c r="N288" i="8"/>
  <c r="BA35" i="8" l="1"/>
  <c r="BA262" i="8"/>
  <c r="BA311" i="8"/>
  <c r="BA291" i="8"/>
  <c r="AW197" i="8"/>
  <c r="BA170" i="8"/>
  <c r="AQ234" i="8"/>
  <c r="G234" i="8" s="1"/>
  <c r="AS281" i="8"/>
  <c r="I281" i="8" s="1"/>
  <c r="BA300" i="8"/>
  <c r="BG96" i="2"/>
  <c r="AQ165" i="8"/>
  <c r="AS169" i="8"/>
  <c r="AS274" i="8"/>
  <c r="BA73" i="8"/>
  <c r="Q73" i="8" s="1"/>
  <c r="AS331" i="8"/>
  <c r="BA194" i="8"/>
  <c r="AW359" i="8"/>
  <c r="AQ205" i="8"/>
  <c r="BA295" i="8"/>
  <c r="Q295" i="8" s="1"/>
  <c r="AQ233" i="8"/>
  <c r="AP268" i="8"/>
  <c r="BA106" i="8"/>
  <c r="BA69" i="8"/>
  <c r="AP113" i="8"/>
  <c r="BA163" i="8"/>
  <c r="BA67" i="8"/>
  <c r="Q67" i="8" s="1"/>
  <c r="BA273" i="8"/>
  <c r="AP258" i="8"/>
  <c r="F258" i="8" s="1"/>
  <c r="AP27" i="8"/>
  <c r="F27" i="8" s="1"/>
  <c r="BA17" i="8"/>
  <c r="Q17" i="8" s="1"/>
  <c r="AP275" i="8"/>
  <c r="F275" i="8" s="1"/>
  <c r="AW390" i="8"/>
  <c r="M390" i="8" s="1"/>
  <c r="AQ3" i="8"/>
  <c r="AQ166" i="8"/>
  <c r="BA299" i="8"/>
  <c r="Q299" i="8" s="1"/>
  <c r="AS332" i="8"/>
  <c r="BA20" i="8"/>
  <c r="Q20" i="8" s="1"/>
  <c r="AX96" i="2"/>
  <c r="AP54" i="8"/>
  <c r="AP186" i="8"/>
  <c r="F186" i="8" s="1"/>
  <c r="BA227" i="8"/>
  <c r="Q227" i="8" s="1"/>
  <c r="AP190" i="8"/>
  <c r="F190" i="8" s="1"/>
  <c r="AS322" i="8"/>
  <c r="I322" i="8" s="1"/>
  <c r="AQ224" i="8"/>
  <c r="G224" i="8" s="1"/>
  <c r="BA97" i="8"/>
  <c r="Q97" i="8" s="1"/>
  <c r="BA146" i="8"/>
  <c r="Q146" i="8" s="1"/>
  <c r="BA373" i="8"/>
  <c r="Q373" i="8" s="1"/>
  <c r="BA129" i="8"/>
  <c r="AW199" i="8"/>
  <c r="M199" i="8" s="1"/>
  <c r="BA289" i="8"/>
  <c r="Q289" i="8" s="1"/>
  <c r="BA281" i="8"/>
  <c r="BA44" i="8"/>
  <c r="Q44" i="8" s="1"/>
  <c r="BA167" i="8"/>
  <c r="Q167" i="8" s="1"/>
  <c r="AO96" i="2"/>
  <c r="AP96" i="2"/>
  <c r="AP72" i="8"/>
  <c r="F72" i="8" s="1"/>
  <c r="AS307" i="8"/>
  <c r="I307" i="8" s="1"/>
  <c r="AQ241" i="8"/>
  <c r="BA274" i="8"/>
  <c r="Q274" i="8" s="1"/>
  <c r="BA191" i="8"/>
  <c r="BA41" i="8"/>
  <c r="Q41" i="8" s="1"/>
  <c r="AQ139" i="8"/>
  <c r="G139" i="8" s="1"/>
  <c r="BA215" i="8"/>
  <c r="BA12" i="8"/>
  <c r="Q12" i="8" s="1"/>
  <c r="BA242" i="8"/>
  <c r="Q242" i="8" s="1"/>
  <c r="AW396" i="8"/>
  <c r="M396" i="8" s="1"/>
  <c r="BA376" i="8"/>
  <c r="Q376" i="8" s="1"/>
  <c r="BA79" i="8"/>
  <c r="Q79" i="8" s="1"/>
  <c r="BA107" i="8"/>
  <c r="AW387" i="8"/>
  <c r="AW96" i="2"/>
  <c r="BA261" i="8"/>
  <c r="AY96" i="2"/>
  <c r="BA165" i="8"/>
  <c r="Q165" i="8" s="1"/>
  <c r="BA208" i="8"/>
  <c r="AS130" i="8"/>
  <c r="I130" i="8" s="1"/>
  <c r="AS48" i="8"/>
  <c r="I48" i="8" s="1"/>
  <c r="BA101" i="8"/>
  <c r="Q101" i="8" s="1"/>
  <c r="BA360" i="8"/>
  <c r="Q360" i="8" s="1"/>
  <c r="BA166" i="8"/>
  <c r="Q166" i="8" s="1"/>
  <c r="AP39" i="8"/>
  <c r="BA9" i="8"/>
  <c r="AV96" i="2"/>
  <c r="BA39" i="8"/>
  <c r="BA155" i="8"/>
  <c r="Q155" i="8" s="1"/>
  <c r="BA160" i="8"/>
  <c r="Q160" i="8" s="1"/>
  <c r="AS83" i="8"/>
  <c r="BA60" i="8"/>
  <c r="BA319" i="8"/>
  <c r="Q319" i="8" s="1"/>
  <c r="AQ235" i="8"/>
  <c r="G235" i="8" s="1"/>
  <c r="AS230" i="8"/>
  <c r="I230" i="8" s="1"/>
  <c r="AQ227" i="8"/>
  <c r="G227" i="8" s="1"/>
  <c r="BA139" i="8"/>
  <c r="Q139" i="8" s="1"/>
  <c r="BA181" i="8"/>
  <c r="Q181" i="8" s="1"/>
  <c r="AQ4" i="8"/>
  <c r="G4" i="8" s="1"/>
  <c r="BA293" i="8"/>
  <c r="BA203" i="8"/>
  <c r="Q203" i="8" s="1"/>
  <c r="BA19" i="8"/>
  <c r="Q19" i="8" s="1"/>
  <c r="AQ229" i="8"/>
  <c r="G229" i="8" s="1"/>
  <c r="AP191" i="8"/>
  <c r="BA369" i="8"/>
  <c r="Q369" i="8" s="1"/>
  <c r="AS87" i="8"/>
  <c r="I87" i="8" s="1"/>
  <c r="AP267" i="8"/>
  <c r="F267" i="8" s="1"/>
  <c r="BA205" i="8"/>
  <c r="Q205" i="8" s="1"/>
  <c r="BD96" i="2"/>
  <c r="AS121" i="8"/>
  <c r="I121" i="8" s="1"/>
  <c r="BA81" i="8"/>
  <c r="Q81" i="8" s="1"/>
  <c r="AQ228" i="8"/>
  <c r="AQ195" i="8"/>
  <c r="G195" i="8" s="1"/>
  <c r="AP51" i="8"/>
  <c r="F51" i="8" s="1"/>
  <c r="BA125" i="8"/>
  <c r="BA25" i="8"/>
  <c r="BA303" i="8"/>
  <c r="Q303" i="8" s="1"/>
  <c r="BA53" i="8"/>
  <c r="Q53" i="8" s="1"/>
  <c r="AS340" i="8"/>
  <c r="I340" i="8" s="1"/>
  <c r="BA156" i="8"/>
  <c r="Q156" i="8" s="1"/>
  <c r="BA366" i="8"/>
  <c r="Q366" i="8" s="1"/>
  <c r="AP214" i="8"/>
  <c r="F214" i="8" s="1"/>
  <c r="AP216" i="8"/>
  <c r="F216" i="8" s="1"/>
  <c r="AS203" i="8"/>
  <c r="I203" i="8" s="1"/>
  <c r="BA153" i="8"/>
  <c r="Q153" i="8" s="1"/>
  <c r="AS339" i="8"/>
  <c r="I339" i="8" s="1"/>
  <c r="BA11" i="8"/>
  <c r="Q11" i="8" s="1"/>
  <c r="AS196" i="8"/>
  <c r="I196" i="8" s="1"/>
  <c r="AS329" i="8"/>
  <c r="I329" i="8" s="1"/>
  <c r="BA224" i="8"/>
  <c r="Q224" i="8" s="1"/>
  <c r="BA193" i="8"/>
  <c r="Q193" i="8" s="1"/>
  <c r="AP95" i="8"/>
  <c r="F95" i="8" s="1"/>
  <c r="BA372" i="8"/>
  <c r="Q372" i="8" s="1"/>
  <c r="BA138" i="8"/>
  <c r="Q138" i="8" s="1"/>
  <c r="BA204" i="8"/>
  <c r="Q204" i="8" s="1"/>
  <c r="BA104" i="8"/>
  <c r="Q104" i="8" s="1"/>
  <c r="BA296" i="8"/>
  <c r="Q296" i="8" s="1"/>
  <c r="AQ106" i="8"/>
  <c r="G106" i="8" s="1"/>
  <c r="AS202" i="8"/>
  <c r="AQ147" i="8"/>
  <c r="G147" i="8" s="1"/>
  <c r="AQ279" i="8"/>
  <c r="G279" i="8" s="1"/>
  <c r="AW388" i="8"/>
  <c r="M388" i="8" s="1"/>
  <c r="AS28" i="8"/>
  <c r="I28" i="8" s="1"/>
  <c r="BA244" i="8"/>
  <c r="Q244" i="8" s="1"/>
  <c r="BA310" i="8"/>
  <c r="Q310" i="8" s="1"/>
  <c r="AP110" i="8"/>
  <c r="F110" i="8" s="1"/>
  <c r="BA42" i="8"/>
  <c r="Q42" i="8" s="1"/>
  <c r="BA77" i="8"/>
  <c r="Q77" i="8" s="1"/>
  <c r="BA294" i="8"/>
  <c r="Q294" i="8" s="1"/>
  <c r="AU274" i="8"/>
  <c r="K274" i="8" s="1"/>
  <c r="AQ204" i="8"/>
  <c r="AQ183" i="8"/>
  <c r="G183" i="8" s="1"/>
  <c r="AS30" i="8"/>
  <c r="I30" i="8" s="1"/>
  <c r="AQ276" i="8"/>
  <c r="G276" i="8" s="1"/>
  <c r="AS310" i="8"/>
  <c r="I310" i="8" s="1"/>
  <c r="AP173" i="8"/>
  <c r="F173" i="8" s="1"/>
  <c r="AS175" i="8"/>
  <c r="I175" i="8" s="1"/>
  <c r="AW389" i="8"/>
  <c r="M389" i="8" s="1"/>
  <c r="AP127" i="8"/>
  <c r="F127" i="8" s="1"/>
  <c r="AQ232" i="8"/>
  <c r="AP152" i="8"/>
  <c r="F152" i="8" s="1"/>
  <c r="AU275" i="8"/>
  <c r="K275" i="8" s="1"/>
  <c r="AS341" i="8"/>
  <c r="AS343" i="8"/>
  <c r="I343" i="8" s="1"/>
  <c r="AS342" i="8"/>
  <c r="I342" i="8" s="1"/>
  <c r="AP100" i="8"/>
  <c r="F100" i="8" s="1"/>
  <c r="BA117" i="8"/>
  <c r="Q117" i="8" s="1"/>
  <c r="AV236" i="8"/>
  <c r="L236" i="8" s="1"/>
  <c r="BA95" i="8"/>
  <c r="Q95" i="8" s="1"/>
  <c r="BA115" i="8"/>
  <c r="AU292" i="8"/>
  <c r="K292" i="8" s="1"/>
  <c r="B381" i="8"/>
  <c r="AW406" i="8"/>
  <c r="M406" i="8" s="1"/>
  <c r="AQ154" i="8"/>
  <c r="G154" i="8" s="1"/>
  <c r="AW37" i="8"/>
  <c r="BA176" i="8"/>
  <c r="BA251" i="8"/>
  <c r="Q251" i="8" s="1"/>
  <c r="AW398" i="8"/>
  <c r="M398" i="8" s="1"/>
  <c r="BA109" i="8"/>
  <c r="Q109" i="8" s="1"/>
  <c r="AS306" i="8"/>
  <c r="I306" i="8" s="1"/>
  <c r="BK96" i="2"/>
  <c r="AN174" i="5"/>
  <c r="AS273" i="8"/>
  <c r="I273" i="8" s="1"/>
  <c r="AS234" i="8"/>
  <c r="BA217" i="8"/>
  <c r="Q217" i="8" s="1"/>
  <c r="AU291" i="8"/>
  <c r="K291" i="8" s="1"/>
  <c r="AQ137" i="8"/>
  <c r="G137" i="8" s="1"/>
  <c r="AS96" i="2"/>
  <c r="AW208" i="8"/>
  <c r="M208" i="8" s="1"/>
  <c r="AQ135" i="8"/>
  <c r="G135" i="8" s="1"/>
  <c r="AT96" i="2"/>
  <c r="BA134" i="8"/>
  <c r="Q134" i="8" s="1"/>
  <c r="AS216" i="8"/>
  <c r="I216" i="8" s="1"/>
  <c r="BA26" i="8"/>
  <c r="Q26" i="8" s="1"/>
  <c r="AS21" i="8"/>
  <c r="I21" i="8" s="1"/>
  <c r="BA264" i="8"/>
  <c r="Q264" i="8" s="1"/>
  <c r="AQ96" i="2"/>
  <c r="AU96" i="2"/>
  <c r="BA192" i="8"/>
  <c r="Q192" i="8" s="1"/>
  <c r="AP177" i="8"/>
  <c r="F177" i="8" s="1"/>
  <c r="AQ182" i="8"/>
  <c r="G182" i="8" s="1"/>
  <c r="AP115" i="8"/>
  <c r="F115" i="8" s="1"/>
  <c r="AP255" i="8"/>
  <c r="F255" i="8" s="1"/>
  <c r="BA185" i="8"/>
  <c r="Q185" i="8" s="1"/>
  <c r="BA316" i="8"/>
  <c r="Q316" i="8" s="1"/>
  <c r="BA141" i="8"/>
  <c r="Q141" i="8" s="1"/>
  <c r="BA43" i="8"/>
  <c r="Q43" i="8" s="1"/>
  <c r="BA4" i="8"/>
  <c r="Q4" i="8" s="1"/>
  <c r="BA21" i="8"/>
  <c r="Q21" i="8" s="1"/>
  <c r="AS161" i="8"/>
  <c r="I161" i="8" s="1"/>
  <c r="BA284" i="8"/>
  <c r="Q284" i="8" s="1"/>
  <c r="AP86" i="8"/>
  <c r="F86" i="8" s="1"/>
  <c r="BA16" i="8"/>
  <c r="Q16" i="8" s="1"/>
  <c r="AQ108" i="8"/>
  <c r="G108" i="8" s="1"/>
  <c r="AS325" i="8"/>
  <c r="I325" i="8" s="1"/>
  <c r="AS277" i="8"/>
  <c r="I277" i="8" s="1"/>
  <c r="BH96" i="2"/>
  <c r="AS12" i="8"/>
  <c r="I12" i="8" s="1"/>
  <c r="AQ60" i="8"/>
  <c r="G60" i="8" s="1"/>
  <c r="BA130" i="8"/>
  <c r="Q130" i="8" s="1"/>
  <c r="AP112" i="8"/>
  <c r="F112" i="8" s="1"/>
  <c r="BA315" i="8"/>
  <c r="B120" i="8"/>
  <c r="AQ242" i="8"/>
  <c r="G242" i="8" s="1"/>
  <c r="AP185" i="8"/>
  <c r="F185" i="8" s="1"/>
  <c r="BA355" i="8"/>
  <c r="Q355" i="8" s="1"/>
  <c r="AW397" i="8"/>
  <c r="M397" i="8" s="1"/>
  <c r="AP91" i="8"/>
  <c r="F91" i="8" s="1"/>
  <c r="AQ206" i="8"/>
  <c r="G206" i="8" s="1"/>
  <c r="BA99" i="8"/>
  <c r="Q99" i="8" s="1"/>
  <c r="BA257" i="8"/>
  <c r="Q257" i="8" s="1"/>
  <c r="BA356" i="8"/>
  <c r="Q356" i="8" s="1"/>
  <c r="AP61" i="8"/>
  <c r="F61" i="8" s="1"/>
  <c r="AP184" i="8"/>
  <c r="AS327" i="8"/>
  <c r="I327" i="8" s="1"/>
  <c r="AW402" i="8"/>
  <c r="M402" i="8" s="1"/>
  <c r="AP142" i="8"/>
  <c r="F142" i="8" s="1"/>
  <c r="BA260" i="8"/>
  <c r="Q260" i="8" s="1"/>
  <c r="AW405" i="8"/>
  <c r="M405" i="8" s="1"/>
  <c r="BA180" i="8"/>
  <c r="Q180" i="8" s="1"/>
  <c r="AQ153" i="8"/>
  <c r="BA225" i="8"/>
  <c r="Q225" i="8" s="1"/>
  <c r="AP77" i="8"/>
  <c r="F77" i="8" s="1"/>
  <c r="B126" i="8"/>
  <c r="AS318" i="8"/>
  <c r="I318" i="8" s="1"/>
  <c r="AP14" i="8"/>
  <c r="F14" i="8" s="1"/>
  <c r="BA54" i="8"/>
  <c r="Q54" i="8" s="1"/>
  <c r="AP59" i="8"/>
  <c r="F59" i="8" s="1"/>
  <c r="AQ225" i="8"/>
  <c r="G225" i="8" s="1"/>
  <c r="BA91" i="8"/>
  <c r="Q91" i="8" s="1"/>
  <c r="BA235" i="8"/>
  <c r="Q235" i="8" s="1"/>
  <c r="BA199" i="8"/>
  <c r="Q199" i="8" s="1"/>
  <c r="AP293" i="8"/>
  <c r="BA213" i="8"/>
  <c r="Q213" i="8" s="1"/>
  <c r="BA93" i="8"/>
  <c r="Q93" i="8" s="1"/>
  <c r="AS31" i="8"/>
  <c r="I31" i="8" s="1"/>
  <c r="AP99" i="8"/>
  <c r="F99" i="8" s="1"/>
  <c r="B89" i="8"/>
  <c r="BA45" i="8"/>
  <c r="Q45" i="8" s="1"/>
  <c r="BA46" i="8"/>
  <c r="AX106" i="8"/>
  <c r="N106" i="8" s="1"/>
  <c r="AS313" i="8"/>
  <c r="I313" i="8" s="1"/>
  <c r="BA161" i="8"/>
  <c r="Q161" i="8" s="1"/>
  <c r="BA83" i="8"/>
  <c r="Q83" i="8" s="1"/>
  <c r="AS336" i="8"/>
  <c r="I336" i="8" s="1"/>
  <c r="BA112" i="8"/>
  <c r="Q112" i="8" s="1"/>
  <c r="AS311" i="8"/>
  <c r="I311" i="8" s="1"/>
  <c r="AP5" i="8"/>
  <c r="F5" i="8" s="1"/>
  <c r="AS320" i="8"/>
  <c r="I320" i="8" s="1"/>
  <c r="BA2" i="8"/>
  <c r="Q2" i="8" s="1"/>
  <c r="BA62" i="8"/>
  <c r="Q62" i="8" s="1"/>
  <c r="BA377" i="8"/>
  <c r="BA292" i="8"/>
  <c r="Q292" i="8" s="1"/>
  <c r="AW395" i="8"/>
  <c r="M395" i="8" s="1"/>
  <c r="AR96" i="2"/>
  <c r="BA189" i="8"/>
  <c r="Q189" i="8" s="1"/>
  <c r="BA27" i="8"/>
  <c r="Q27" i="8" s="1"/>
  <c r="BA279" i="8"/>
  <c r="Q279" i="8" s="1"/>
  <c r="AP274" i="8"/>
  <c r="F274" i="8" s="1"/>
  <c r="B309" i="8"/>
  <c r="AU65" i="8"/>
  <c r="K65" i="8" s="1"/>
  <c r="AU113" i="8"/>
  <c r="K113" i="8" s="1"/>
  <c r="BA331" i="8"/>
  <c r="Q331" i="8" s="1"/>
  <c r="AW111" i="8"/>
  <c r="M111" i="8" s="1"/>
  <c r="F299" i="8"/>
  <c r="AP80" i="8"/>
  <c r="F80" i="8" s="1"/>
  <c r="AW360" i="8"/>
  <c r="M360" i="8" s="1"/>
  <c r="AY285" i="8"/>
  <c r="O285" i="8" s="1"/>
  <c r="AY13" i="8"/>
  <c r="O13" i="8" s="1"/>
  <c r="AW95" i="8"/>
  <c r="M95" i="8" s="1"/>
  <c r="AP55" i="8"/>
  <c r="F55" i="8" s="1"/>
  <c r="AW362" i="8"/>
  <c r="M362" i="8" s="1"/>
  <c r="AW316" i="8"/>
  <c r="M316" i="8" s="1"/>
  <c r="AW96" i="8"/>
  <c r="M96" i="8" s="1"/>
  <c r="K320" i="8"/>
  <c r="AU77" i="8"/>
  <c r="K77" i="8" s="1"/>
  <c r="AU138" i="8"/>
  <c r="K138" i="8" s="1"/>
  <c r="P292" i="8"/>
  <c r="AY286" i="8"/>
  <c r="O286" i="8" s="1"/>
  <c r="AW341" i="8"/>
  <c r="M341" i="8" s="1"/>
  <c r="AV213" i="8"/>
  <c r="L213" i="8" s="1"/>
  <c r="AY296" i="8"/>
  <c r="O296" i="8" s="1"/>
  <c r="AW400" i="8"/>
  <c r="M400" i="8" s="1"/>
  <c r="AY186" i="8"/>
  <c r="O186" i="8" s="1"/>
  <c r="AP156" i="8"/>
  <c r="F156" i="8" s="1"/>
  <c r="AV323" i="8"/>
  <c r="L323" i="8" s="1"/>
  <c r="AU180" i="8"/>
  <c r="K180" i="8" s="1"/>
  <c r="AY128" i="8"/>
  <c r="O128" i="8" s="1"/>
  <c r="AY70" i="8"/>
  <c r="O70" i="8" s="1"/>
  <c r="F63" i="8"/>
  <c r="AY77" i="8"/>
  <c r="O77" i="8" s="1"/>
  <c r="AW290" i="8"/>
  <c r="M290" i="8" s="1"/>
  <c r="AY182" i="8"/>
  <c r="O182" i="8" s="1"/>
  <c r="J33" i="8"/>
  <c r="AW254" i="8"/>
  <c r="M254" i="8" s="1"/>
  <c r="AW235" i="8"/>
  <c r="M235" i="8" s="1"/>
  <c r="AY251" i="8"/>
  <c r="O251" i="8" s="1"/>
  <c r="AU20" i="8"/>
  <c r="K20" i="8" s="1"/>
  <c r="AY114" i="8"/>
  <c r="O114" i="8" s="1"/>
  <c r="BA285" i="8"/>
  <c r="Q285" i="8" s="1"/>
  <c r="AY227" i="8"/>
  <c r="O227" i="8" s="1"/>
  <c r="K375" i="8"/>
  <c r="AQ157" i="8"/>
  <c r="G157" i="8" s="1"/>
  <c r="AW331" i="8"/>
  <c r="M331" i="8" s="1"/>
  <c r="AY170" i="8"/>
  <c r="O170" i="8" s="1"/>
  <c r="P354" i="8"/>
  <c r="M299" i="8"/>
  <c r="L295" i="8"/>
  <c r="J34" i="8"/>
  <c r="AP92" i="8"/>
  <c r="F92" i="8" s="1"/>
  <c r="AX248" i="8"/>
  <c r="N248" i="8" s="1"/>
  <c r="AY64" i="8"/>
  <c r="O64" i="8" s="1"/>
  <c r="I362" i="8"/>
  <c r="BA7" i="8"/>
  <c r="Q7" i="8" s="1"/>
  <c r="AU107" i="8"/>
  <c r="K107" i="8" s="1"/>
  <c r="I377" i="8"/>
  <c r="AW181" i="8"/>
  <c r="M181" i="8" s="1"/>
  <c r="L57" i="8"/>
  <c r="AU177" i="8"/>
  <c r="K177" i="8" s="1"/>
  <c r="F179" i="8"/>
  <c r="AW296" i="8"/>
  <c r="M296" i="8" s="1"/>
  <c r="N52" i="8"/>
  <c r="BA105" i="8"/>
  <c r="Q105" i="8" s="1"/>
  <c r="AY58" i="8"/>
  <c r="O58" i="8" s="1"/>
  <c r="AY71" i="8"/>
  <c r="O71" i="8" s="1"/>
  <c r="M52" i="8"/>
  <c r="AU245" i="8"/>
  <c r="K245" i="8" s="1"/>
  <c r="AX246" i="8"/>
  <c r="N246" i="8" s="1"/>
  <c r="AW19" i="8"/>
  <c r="M19" i="8" s="1"/>
  <c r="F246" i="8"/>
  <c r="AY87" i="8"/>
  <c r="O87" i="8" s="1"/>
  <c r="P376" i="8"/>
  <c r="AY8" i="8"/>
  <c r="O8" i="8" s="1"/>
  <c r="AW376" i="8"/>
  <c r="M376" i="8" s="1"/>
  <c r="BA236" i="8"/>
  <c r="AW289" i="8"/>
  <c r="M289" i="8" s="1"/>
  <c r="AX142" i="8"/>
  <c r="N142" i="8" s="1"/>
  <c r="AV180" i="8"/>
  <c r="L180" i="8" s="1"/>
  <c r="I285" i="8"/>
  <c r="AW312" i="8"/>
  <c r="M312" i="8" s="1"/>
  <c r="M154" i="8"/>
  <c r="AY173" i="8"/>
  <c r="O173" i="8" s="1"/>
  <c r="AV272" i="8"/>
  <c r="L272" i="8" s="1"/>
  <c r="B272" i="8" s="1"/>
  <c r="AU254" i="8"/>
  <c r="K254" i="8" s="1"/>
  <c r="P277" i="8"/>
  <c r="AU54" i="8"/>
  <c r="K54" i="8" s="1"/>
  <c r="BA234" i="8"/>
  <c r="AW271" i="8"/>
  <c r="M271" i="8" s="1"/>
  <c r="AP166" i="8"/>
  <c r="F166" i="8" s="1"/>
  <c r="F302" i="8"/>
  <c r="AW361" i="8"/>
  <c r="M361" i="8" s="1"/>
  <c r="M401" i="8"/>
  <c r="AQ230" i="8"/>
  <c r="G230" i="8" s="1"/>
  <c r="AU179" i="8"/>
  <c r="K179" i="8" s="1"/>
  <c r="BA363" i="8"/>
  <c r="Q363" i="8" s="1"/>
  <c r="I373" i="8"/>
  <c r="AW344" i="8"/>
  <c r="M344" i="8" s="1"/>
  <c r="AU265" i="8"/>
  <c r="K265" i="8" s="1"/>
  <c r="N229" i="8"/>
  <c r="AW274" i="8"/>
  <c r="M274" i="8" s="1"/>
  <c r="AY252" i="8"/>
  <c r="O252" i="8" s="1"/>
  <c r="AW106" i="8"/>
  <c r="M106" i="8" s="1"/>
  <c r="BA157" i="8"/>
  <c r="Q157" i="8" s="1"/>
  <c r="AY135" i="8"/>
  <c r="O135" i="8" s="1"/>
  <c r="AU49" i="8"/>
  <c r="K49" i="8" s="1"/>
  <c r="AY57" i="8"/>
  <c r="O57" i="8" s="1"/>
  <c r="AW394" i="8"/>
  <c r="M394" i="8" s="1"/>
  <c r="Q246" i="8"/>
  <c r="Q291" i="8"/>
  <c r="BA51" i="8"/>
  <c r="Q51" i="8" s="1"/>
  <c r="AY258" i="8"/>
  <c r="O258" i="8" s="1"/>
  <c r="AP7" i="8"/>
  <c r="F7" i="8" s="1"/>
  <c r="N162" i="8"/>
  <c r="AU210" i="8"/>
  <c r="K210" i="8" s="1"/>
  <c r="AP236" i="8"/>
  <c r="F236" i="8" s="1"/>
  <c r="Q245" i="8"/>
  <c r="N370" i="8"/>
  <c r="AS206" i="8"/>
  <c r="N124" i="8"/>
  <c r="AU171" i="8"/>
  <c r="K171" i="8" s="1"/>
  <c r="AY101" i="8"/>
  <c r="O101" i="8" s="1"/>
  <c r="AU228" i="8"/>
  <c r="K228" i="8" s="1"/>
  <c r="BA86" i="8"/>
  <c r="BA151" i="8"/>
  <c r="Q151" i="8" s="1"/>
  <c r="F150" i="8"/>
  <c r="AU242" i="8"/>
  <c r="K242" i="8" s="1"/>
  <c r="AY131" i="8"/>
  <c r="O131" i="8" s="1"/>
  <c r="B131" i="8" s="1"/>
  <c r="AS180" i="8"/>
  <c r="I180" i="8" s="1"/>
  <c r="BA317" i="8"/>
  <c r="Q317" i="8" s="1"/>
  <c r="AY297" i="8"/>
  <c r="O297" i="8" s="1"/>
  <c r="AP138" i="8"/>
  <c r="F138" i="8" s="1"/>
  <c r="L288" i="8"/>
  <c r="F262" i="8"/>
  <c r="AQ117" i="8"/>
  <c r="G117" i="8" s="1"/>
  <c r="L83" i="8"/>
  <c r="AW7" i="8"/>
  <c r="M7" i="8" s="1"/>
  <c r="AY253" i="8"/>
  <c r="O253" i="8" s="1"/>
  <c r="Q300" i="8"/>
  <c r="L254" i="8"/>
  <c r="AY59" i="8"/>
  <c r="O59" i="8" s="1"/>
  <c r="AY83" i="8"/>
  <c r="O83" i="8" s="1"/>
  <c r="AZ379" i="8"/>
  <c r="P379" i="8" s="1"/>
  <c r="AX379" i="8"/>
  <c r="N379" i="8" s="1"/>
  <c r="AY295" i="8"/>
  <c r="O295" i="8" s="1"/>
  <c r="AW363" i="8"/>
  <c r="M363" i="8" s="1"/>
  <c r="BA252" i="8"/>
  <c r="Q252" i="8" s="1"/>
  <c r="AQ45" i="8"/>
  <c r="G45" i="8" s="1"/>
  <c r="AW49" i="8"/>
  <c r="M49" i="8" s="1"/>
  <c r="AY212" i="8"/>
  <c r="O212" i="8" s="1"/>
  <c r="AW77" i="8"/>
  <c r="M77" i="8" s="1"/>
  <c r="AY147" i="8"/>
  <c r="O147" i="8" s="1"/>
  <c r="L33" i="8"/>
  <c r="B88" i="8"/>
  <c r="AW261" i="8"/>
  <c r="M261" i="8" s="1"/>
  <c r="AW74" i="8"/>
  <c r="M74" i="8" s="1"/>
  <c r="AU241" i="8"/>
  <c r="K241" i="8" s="1"/>
  <c r="AY274" i="8"/>
  <c r="O274" i="8" s="1"/>
  <c r="AY213" i="8"/>
  <c r="O213" i="8" s="1"/>
  <c r="AY116" i="8"/>
  <c r="O116" i="8" s="1"/>
  <c r="AY228" i="8"/>
  <c r="O228" i="8" s="1"/>
  <c r="AU248" i="8"/>
  <c r="K248" i="8" s="1"/>
  <c r="AU135" i="8"/>
  <c r="K135" i="8" s="1"/>
  <c r="AW167" i="8"/>
  <c r="M167" i="8" s="1"/>
  <c r="BA169" i="8"/>
  <c r="Q169" i="8" s="1"/>
  <c r="AY100" i="8"/>
  <c r="O100" i="8" s="1"/>
  <c r="AU243" i="8"/>
  <c r="K243" i="8" s="1"/>
  <c r="BA405" i="8"/>
  <c r="Q405" i="8" s="1"/>
  <c r="B405" i="8" s="1"/>
  <c r="K316" i="8"/>
  <c r="AY223" i="8"/>
  <c r="O223" i="8" s="1"/>
  <c r="AW357" i="8"/>
  <c r="M357" i="8" s="1"/>
  <c r="AY284" i="8"/>
  <c r="O284" i="8" s="1"/>
  <c r="AX317" i="8"/>
  <c r="N317" i="8" s="1"/>
  <c r="K114" i="8"/>
  <c r="AY44" i="8"/>
  <c r="O44" i="8" s="1"/>
  <c r="AW125" i="8"/>
  <c r="M125" i="8" s="1"/>
  <c r="AU200" i="8"/>
  <c r="K200" i="8" s="1"/>
  <c r="AG158" i="8"/>
  <c r="AS133" i="5"/>
  <c r="AY10" i="8"/>
  <c r="O10" i="8" s="1"/>
  <c r="AY68" i="8"/>
  <c r="O68" i="8" s="1"/>
  <c r="K323" i="8"/>
  <c r="O365" i="8"/>
  <c r="Q354" i="8"/>
  <c r="BA277" i="8"/>
  <c r="Q277" i="8" s="1"/>
  <c r="AV237" i="8"/>
  <c r="L237" i="8" s="1"/>
  <c r="AW223" i="8"/>
  <c r="M223" i="8" s="1"/>
  <c r="AV366" i="8"/>
  <c r="L366" i="8" s="1"/>
  <c r="AU260" i="8"/>
  <c r="K260" i="8" s="1"/>
  <c r="AU39" i="8"/>
  <c r="K39" i="8" s="1"/>
  <c r="AU174" i="8"/>
  <c r="K174" i="8" s="1"/>
  <c r="BA280" i="8"/>
  <c r="Q280" i="8" s="1"/>
  <c r="AY56" i="8"/>
  <c r="O56" i="8" s="1"/>
  <c r="AY240" i="8"/>
  <c r="O240" i="8" s="1"/>
  <c r="O367" i="8"/>
  <c r="AX45" i="8"/>
  <c r="N45" i="8" s="1"/>
  <c r="AW185" i="8"/>
  <c r="M185" i="8" s="1"/>
  <c r="F102" i="8"/>
  <c r="AX136" i="8"/>
  <c r="N136" i="8" s="1"/>
  <c r="AY25" i="8"/>
  <c r="O25" i="8" s="1"/>
  <c r="AY26" i="8"/>
  <c r="O26" i="8" s="1"/>
  <c r="L58" i="8"/>
  <c r="AW370" i="8"/>
  <c r="M370" i="8" s="1"/>
  <c r="AS314" i="8"/>
  <c r="I314" i="8" s="1"/>
  <c r="AY300" i="8"/>
  <c r="O300" i="8" s="1"/>
  <c r="AY49" i="8"/>
  <c r="O49" i="8" s="1"/>
  <c r="AP243" i="8"/>
  <c r="AW190" i="8"/>
  <c r="M190" i="8" s="1"/>
  <c r="I83" i="8"/>
  <c r="AW60" i="8"/>
  <c r="M60" i="8" s="1"/>
  <c r="BA256" i="8"/>
  <c r="Q256" i="8" s="1"/>
  <c r="AY165" i="8"/>
  <c r="O165" i="8" s="1"/>
  <c r="AQ207" i="8"/>
  <c r="G207" i="8" s="1"/>
  <c r="AW70" i="8"/>
  <c r="M70" i="8" s="1"/>
  <c r="P198" i="8"/>
  <c r="AV351" i="8"/>
  <c r="L351" i="8" s="1"/>
  <c r="AU156" i="8"/>
  <c r="K156" i="8" s="1"/>
  <c r="P362" i="8"/>
  <c r="AU121" i="8"/>
  <c r="K121" i="8" s="1"/>
  <c r="BA133" i="8"/>
  <c r="Q133" i="8" s="1"/>
  <c r="AV260" i="8"/>
  <c r="L260" i="8" s="1"/>
  <c r="AY167" i="8"/>
  <c r="O167" i="8" s="1"/>
  <c r="K357" i="8"/>
  <c r="AV150" i="8"/>
  <c r="L150" i="8" s="1"/>
  <c r="AW117" i="8"/>
  <c r="M117" i="8" s="1"/>
  <c r="AY113" i="8"/>
  <c r="O113" i="8" s="1"/>
  <c r="K32" i="8"/>
  <c r="BA196" i="8"/>
  <c r="Q196" i="8" s="1"/>
  <c r="N99" i="8"/>
  <c r="BE96" i="2"/>
  <c r="AY76" i="8"/>
  <c r="O76" i="8" s="1"/>
  <c r="AU207" i="8"/>
  <c r="K207" i="8" s="1"/>
  <c r="P17" i="8"/>
  <c r="BA144" i="8"/>
  <c r="Q144" i="8" s="1"/>
  <c r="N103" i="8"/>
  <c r="M176" i="8"/>
  <c r="AY210" i="8"/>
  <c r="O210" i="8" s="1"/>
  <c r="B210" i="8" s="1"/>
  <c r="AY288" i="8"/>
  <c r="O288" i="8" s="1"/>
  <c r="AP143" i="8"/>
  <c r="F143" i="8" s="1"/>
  <c r="AW273" i="8"/>
  <c r="M273" i="8" s="1"/>
  <c r="AW282" i="8"/>
  <c r="M282" i="8" s="1"/>
  <c r="AU157" i="8"/>
  <c r="K157" i="8" s="1"/>
  <c r="AP69" i="8"/>
  <c r="F69" i="8" s="1"/>
  <c r="AW152" i="8"/>
  <c r="M152" i="8" s="1"/>
  <c r="L163" i="8"/>
  <c r="BA111" i="8"/>
  <c r="Q111" i="8" s="1"/>
  <c r="BA344" i="8"/>
  <c r="Q344" i="8" s="1"/>
  <c r="N192" i="8"/>
  <c r="G233" i="8"/>
  <c r="AY60" i="8"/>
  <c r="O60" i="8" s="1"/>
  <c r="F249" i="8"/>
  <c r="Q305" i="8"/>
  <c r="BA103" i="8"/>
  <c r="Q103" i="8" s="1"/>
  <c r="AY39" i="8"/>
  <c r="O39" i="8" s="1"/>
  <c r="AX195" i="8"/>
  <c r="N195" i="8" s="1"/>
  <c r="BA90" i="8"/>
  <c r="Q90" i="8" s="1"/>
  <c r="AU168" i="8"/>
  <c r="K168" i="8" s="1"/>
  <c r="AW146" i="8"/>
  <c r="M146" i="8" s="1"/>
  <c r="AP121" i="8"/>
  <c r="F121" i="8" s="1"/>
  <c r="Q370" i="8"/>
  <c r="N358" i="8"/>
  <c r="F78" i="8"/>
  <c r="F101" i="8"/>
  <c r="BA343" i="8"/>
  <c r="Q343" i="8" s="1"/>
  <c r="AY250" i="8"/>
  <c r="O250" i="8" s="1"/>
  <c r="AT364" i="8"/>
  <c r="J364" i="8" s="1"/>
  <c r="BA149" i="8"/>
  <c r="Q149" i="8" s="1"/>
  <c r="AW172" i="8"/>
  <c r="M172" i="8" s="1"/>
  <c r="N55" i="8"/>
  <c r="BA228" i="8"/>
  <c r="Q228" i="8" s="1"/>
  <c r="BA348" i="8"/>
  <c r="Q348" i="8" s="1"/>
  <c r="BA87" i="8"/>
  <c r="Q87" i="8" s="1"/>
  <c r="P356" i="8"/>
  <c r="N79" i="8"/>
  <c r="AW258" i="8"/>
  <c r="M258" i="8" s="1"/>
  <c r="AV332" i="8"/>
  <c r="L332" i="8" s="1"/>
  <c r="N366" i="8"/>
  <c r="AY48" i="8"/>
  <c r="O48" i="8" s="1"/>
  <c r="BA374" i="8"/>
  <c r="Q374" i="8" s="1"/>
  <c r="BA15" i="8"/>
  <c r="Q15" i="8" s="1"/>
  <c r="AU247" i="8"/>
  <c r="K247" i="8" s="1"/>
  <c r="M403" i="8"/>
  <c r="AW345" i="8"/>
  <c r="M345" i="8" s="1"/>
  <c r="N132" i="8"/>
  <c r="AW294" i="8"/>
  <c r="M294" i="8" s="1"/>
  <c r="BA328" i="8"/>
  <c r="Q328" i="8" s="1"/>
  <c r="M3" i="8"/>
  <c r="AW134" i="8"/>
  <c r="M134" i="8" s="1"/>
  <c r="AS323" i="8"/>
  <c r="I323" i="8" s="1"/>
  <c r="AW93" i="8"/>
  <c r="M93" i="8" s="1"/>
  <c r="AY368" i="8"/>
  <c r="O368" i="8" s="1"/>
  <c r="AW232" i="8"/>
  <c r="M232" i="8" s="1"/>
  <c r="Q250" i="8"/>
  <c r="AY164" i="8"/>
  <c r="O164" i="8" s="1"/>
  <c r="L244" i="8"/>
  <c r="AU191" i="8"/>
  <c r="K191" i="8" s="1"/>
  <c r="B304" i="8"/>
  <c r="AY303" i="8"/>
  <c r="O303" i="8" s="1"/>
  <c r="N15" i="8"/>
  <c r="BA394" i="8"/>
  <c r="Q394" i="8" s="1"/>
  <c r="B394" i="8" s="1"/>
  <c r="N267" i="8"/>
  <c r="AY139" i="8"/>
  <c r="O139" i="8" s="1"/>
  <c r="BA336" i="8"/>
  <c r="Q336" i="8" s="1"/>
  <c r="AW233" i="8"/>
  <c r="M233" i="8" s="1"/>
  <c r="AZ360" i="8"/>
  <c r="P360" i="8" s="1"/>
  <c r="AW330" i="8"/>
  <c r="M330" i="8" s="1"/>
  <c r="L289" i="8"/>
  <c r="AW318" i="8"/>
  <c r="M318" i="8" s="1"/>
  <c r="AW218" i="8"/>
  <c r="M218" i="8" s="1"/>
  <c r="AY82" i="8"/>
  <c r="O82" i="8" s="1"/>
  <c r="AY189" i="8"/>
  <c r="O189" i="8" s="1"/>
  <c r="AW276" i="8"/>
  <c r="M276" i="8" s="1"/>
  <c r="BA37" i="8"/>
  <c r="Q37" i="8" s="1"/>
  <c r="B37" i="8" s="1"/>
  <c r="AW216" i="8"/>
  <c r="M216" i="8" s="1"/>
  <c r="AY254" i="8"/>
  <c r="O254" i="8" s="1"/>
  <c r="AY20" i="8"/>
  <c r="O20" i="8" s="1"/>
  <c r="AA158" i="8"/>
  <c r="AX133" i="5"/>
  <c r="AW311" i="8"/>
  <c r="M311" i="8" s="1"/>
  <c r="AU377" i="8"/>
  <c r="K377" i="8" s="1"/>
  <c r="AP132" i="8"/>
  <c r="F132" i="8" s="1"/>
  <c r="AX46" i="8"/>
  <c r="N46" i="8" s="1"/>
  <c r="X90" i="8"/>
  <c r="AU61" i="5"/>
  <c r="AW280" i="8"/>
  <c r="M280" i="8" s="1"/>
  <c r="N33" i="8"/>
  <c r="L355" i="8"/>
  <c r="AU336" i="8"/>
  <c r="K336" i="8" s="1"/>
  <c r="AY35" i="8"/>
  <c r="O35" i="8" s="1"/>
  <c r="AY109" i="8"/>
  <c r="O109" i="8" s="1"/>
  <c r="AP188" i="8"/>
  <c r="F188" i="8" s="1"/>
  <c r="AX315" i="8"/>
  <c r="N315" i="8" s="1"/>
  <c r="N24" i="8"/>
  <c r="AU299" i="8"/>
  <c r="K299" i="8" s="1"/>
  <c r="AU72" i="8"/>
  <c r="K72" i="8" s="1"/>
  <c r="Q307" i="8"/>
  <c r="K363" i="8"/>
  <c r="AQ48" i="8"/>
  <c r="G48" i="8" s="1"/>
  <c r="AU262" i="8"/>
  <c r="K262" i="8" s="1"/>
  <c r="BA378" i="8"/>
  <c r="AU141" i="8"/>
  <c r="K141" i="8" s="1"/>
  <c r="AW325" i="8"/>
  <c r="M325" i="8" s="1"/>
  <c r="N57" i="8"/>
  <c r="AW212" i="8"/>
  <c r="M212" i="8" s="1"/>
  <c r="AY150" i="8"/>
  <c r="O150" i="8" s="1"/>
  <c r="AP270" i="8"/>
  <c r="F270" i="8" s="1"/>
  <c r="N297" i="8"/>
  <c r="AU163" i="8"/>
  <c r="K163" i="8" s="1"/>
  <c r="AP300" i="8"/>
  <c r="F300" i="8" s="1"/>
  <c r="N234" i="8"/>
  <c r="AY124" i="8"/>
  <c r="O124" i="8" s="1"/>
  <c r="L270" i="8"/>
  <c r="N21" i="8"/>
  <c r="AX188" i="8"/>
  <c r="N188" i="8" s="1"/>
  <c r="AY217" i="8"/>
  <c r="O217" i="8" s="1"/>
  <c r="AQ102" i="8"/>
  <c r="G102" i="8" s="1"/>
  <c r="AU151" i="8"/>
  <c r="K151" i="8" s="1"/>
  <c r="AW333" i="8"/>
  <c r="M333" i="8" s="1"/>
  <c r="AW250" i="8"/>
  <c r="M250" i="8" s="1"/>
  <c r="N18" i="8"/>
  <c r="L363" i="8"/>
  <c r="AP94" i="8"/>
  <c r="F94" i="8" s="1"/>
  <c r="F16" i="8"/>
  <c r="AU44" i="8"/>
  <c r="K44" i="8" s="1"/>
  <c r="I202" i="8"/>
  <c r="Q290" i="8"/>
  <c r="AU42" i="8"/>
  <c r="K42" i="8" s="1"/>
  <c r="AW44" i="8"/>
  <c r="M44" i="8" s="1"/>
  <c r="AV343" i="8"/>
  <c r="L343" i="8" s="1"/>
  <c r="N63" i="8"/>
  <c r="AY153" i="8"/>
  <c r="O153" i="8" s="1"/>
  <c r="AX205" i="8"/>
  <c r="N205" i="8" s="1"/>
  <c r="Q143" i="8"/>
  <c r="AY260" i="8"/>
  <c r="O260" i="8" s="1"/>
  <c r="AW225" i="8"/>
  <c r="M225" i="8" s="1"/>
  <c r="AS368" i="8"/>
  <c r="I368" i="8" s="1"/>
  <c r="J354" i="8"/>
  <c r="AZ19" i="8"/>
  <c r="P19" i="8" s="1"/>
  <c r="G273" i="8"/>
  <c r="AY176" i="8"/>
  <c r="O176" i="8" s="1"/>
  <c r="AP229" i="8"/>
  <c r="F229" i="8" s="1"/>
  <c r="K286" i="8"/>
  <c r="AZ35" i="8"/>
  <c r="P35" i="8" s="1"/>
  <c r="F23" i="8"/>
  <c r="Q223" i="8"/>
  <c r="Q234" i="8"/>
  <c r="AU263" i="8"/>
  <c r="K263" i="8" s="1"/>
  <c r="BA56" i="8"/>
  <c r="AS330" i="8"/>
  <c r="I330" i="8" s="1"/>
  <c r="AP74" i="8"/>
  <c r="F74" i="8" s="1"/>
  <c r="AP6" i="8"/>
  <c r="F6" i="8" s="1"/>
  <c r="AX319" i="8"/>
  <c r="N319" i="8" s="1"/>
  <c r="BB96" i="2"/>
  <c r="AU145" i="8"/>
  <c r="K145" i="8" s="1"/>
  <c r="P21" i="8"/>
  <c r="AS9" i="8"/>
  <c r="I9" i="8" s="1"/>
  <c r="L151" i="8"/>
  <c r="BA108" i="8"/>
  <c r="Q108" i="8" s="1"/>
  <c r="K359" i="8"/>
  <c r="AW313" i="8"/>
  <c r="M313" i="8" s="1"/>
  <c r="AW10" i="8"/>
  <c r="M10" i="8" s="1"/>
  <c r="K321" i="8"/>
  <c r="AY226" i="8"/>
  <c r="O226" i="8" s="1"/>
  <c r="F58" i="8"/>
  <c r="BA127" i="8"/>
  <c r="Q127" i="8" s="1"/>
  <c r="BA345" i="8"/>
  <c r="Q345" i="8" s="1"/>
  <c r="K57" i="8"/>
  <c r="AU209" i="8"/>
  <c r="K209" i="8" s="1"/>
  <c r="AY104" i="8"/>
  <c r="O104" i="8" s="1"/>
  <c r="AU33" i="8"/>
  <c r="K33" i="8" s="1"/>
  <c r="N151" i="8"/>
  <c r="L215" i="8"/>
  <c r="G226" i="8"/>
  <c r="P289" i="8"/>
  <c r="BA162" i="8"/>
  <c r="Q162" i="8" s="1"/>
  <c r="AW343" i="8"/>
  <c r="M343" i="8" s="1"/>
  <c r="F180" i="8"/>
  <c r="AX204" i="8"/>
  <c r="N204" i="8" s="1"/>
  <c r="AW136" i="8"/>
  <c r="M136" i="8" s="1"/>
  <c r="F183" i="8"/>
  <c r="AU335" i="8"/>
  <c r="K335" i="8" s="1"/>
  <c r="BA113" i="8"/>
  <c r="F11" i="8"/>
  <c r="AU271" i="8"/>
  <c r="K271" i="8" s="1"/>
  <c r="BA269" i="8"/>
  <c r="Q269" i="8" s="1"/>
  <c r="K322" i="8"/>
  <c r="AU148" i="8"/>
  <c r="K148" i="8" s="1"/>
  <c r="AY111" i="8"/>
  <c r="O111" i="8" s="1"/>
  <c r="AU161" i="8"/>
  <c r="K161" i="8" s="1"/>
  <c r="AY281" i="8"/>
  <c r="O281" i="8" s="1"/>
  <c r="AW122" i="8"/>
  <c r="M122" i="8" s="1"/>
  <c r="AD158" i="8"/>
  <c r="AP158" i="8" s="1"/>
  <c r="AP133" i="5"/>
  <c r="P2" i="8"/>
  <c r="AP265" i="8"/>
  <c r="F265" i="8" s="1"/>
  <c r="L330" i="8"/>
  <c r="AW229" i="8"/>
  <c r="M229" i="8" s="1"/>
  <c r="BA346" i="8"/>
  <c r="Q346" i="8" s="1"/>
  <c r="AV356" i="8"/>
  <c r="L356" i="8" s="1"/>
  <c r="AU302" i="8"/>
  <c r="K302" i="8" s="1"/>
  <c r="K231" i="8"/>
  <c r="AU294" i="8"/>
  <c r="K294" i="8" s="1"/>
  <c r="AY160" i="8"/>
  <c r="O160" i="8" s="1"/>
  <c r="AW46" i="8"/>
  <c r="M46" i="8" s="1"/>
  <c r="AY271" i="8"/>
  <c r="O271" i="8" s="1"/>
  <c r="BA254" i="8"/>
  <c r="Q254" i="8" s="1"/>
  <c r="AW262" i="8"/>
  <c r="M262" i="8" s="1"/>
  <c r="AW211" i="8"/>
  <c r="M211" i="8" s="1"/>
  <c r="AY146" i="8"/>
  <c r="O146" i="8" s="1"/>
  <c r="AW356" i="8"/>
  <c r="M356" i="8" s="1"/>
  <c r="AP218" i="8"/>
  <c r="F218" i="8" s="1"/>
  <c r="AY138" i="8"/>
  <c r="O138" i="8" s="1"/>
  <c r="AY238" i="8"/>
  <c r="O238" i="8" s="1"/>
  <c r="B238" i="8" s="1"/>
  <c r="N19" i="8"/>
  <c r="AU195" i="8"/>
  <c r="K195" i="8" s="1"/>
  <c r="P373" i="8"/>
  <c r="AV300" i="8"/>
  <c r="L300" i="8" s="1"/>
  <c r="N66" i="8"/>
  <c r="O359" i="8"/>
  <c r="AW165" i="8"/>
  <c r="M165" i="8" s="1"/>
  <c r="AP146" i="8"/>
  <c r="F146" i="8" s="1"/>
  <c r="J371" i="8"/>
  <c r="AV148" i="8"/>
  <c r="L148" i="8" s="1"/>
  <c r="I34" i="8"/>
  <c r="AY53" i="8"/>
  <c r="O53" i="8" s="1"/>
  <c r="BA301" i="8"/>
  <c r="Q301" i="8" s="1"/>
  <c r="AU95" i="8"/>
  <c r="K95" i="8" s="1"/>
  <c r="AW121" i="8"/>
  <c r="M121" i="8" s="1"/>
  <c r="AW340" i="8"/>
  <c r="M340" i="8" s="1"/>
  <c r="BA338" i="8"/>
  <c r="Q338" i="8" s="1"/>
  <c r="B338" i="8" s="1"/>
  <c r="AW358" i="8"/>
  <c r="M358" i="8" s="1"/>
  <c r="AY51" i="8"/>
  <c r="O51" i="8" s="1"/>
  <c r="AU139" i="8"/>
  <c r="K139" i="8" s="1"/>
  <c r="AW72" i="8"/>
  <c r="M72" i="8" s="1"/>
  <c r="AY152" i="8"/>
  <c r="O152" i="8" s="1"/>
  <c r="AW30" i="8"/>
  <c r="M30" i="8" s="1"/>
  <c r="BA401" i="8"/>
  <c r="Q401" i="8" s="1"/>
  <c r="B401" i="8" s="1"/>
  <c r="L322" i="8"/>
  <c r="AY192" i="8"/>
  <c r="O192" i="8" s="1"/>
  <c r="AW161" i="8"/>
  <c r="M161" i="8" s="1"/>
  <c r="AS372" i="8"/>
  <c r="I372" i="8" s="1"/>
  <c r="BA114" i="8"/>
  <c r="Q114" i="8" s="1"/>
  <c r="AY129" i="8"/>
  <c r="O129" i="8" s="1"/>
  <c r="N231" i="8"/>
  <c r="P297" i="8"/>
  <c r="AY183" i="8"/>
  <c r="O183" i="8" s="1"/>
  <c r="N182" i="8"/>
  <c r="AU143" i="8"/>
  <c r="K143" i="8" s="1"/>
  <c r="AW150" i="8"/>
  <c r="M150" i="8" s="1"/>
  <c r="F184" i="8"/>
  <c r="B184" i="8" s="1"/>
  <c r="G153" i="8"/>
  <c r="Z196" i="8"/>
  <c r="AW174" i="5"/>
  <c r="BA337" i="8"/>
  <c r="Q337" i="8" s="1"/>
  <c r="AV329" i="8"/>
  <c r="L329" i="8" s="1"/>
  <c r="N104" i="8"/>
  <c r="AU2" i="8"/>
  <c r="K2" i="8" s="1"/>
  <c r="BA186" i="8"/>
  <c r="Q186" i="8" s="1"/>
  <c r="K378" i="8"/>
  <c r="AW142" i="8"/>
  <c r="M142" i="8" s="1"/>
  <c r="AX5" i="8"/>
  <c r="N5" i="8" s="1"/>
  <c r="AU153" i="8"/>
  <c r="K153" i="8" s="1"/>
  <c r="AV358" i="8"/>
  <c r="L358" i="8" s="1"/>
  <c r="BI96" i="2"/>
  <c r="Q293" i="8"/>
  <c r="L178" i="8"/>
  <c r="BA71" i="8"/>
  <c r="Q71" i="8" s="1"/>
  <c r="AV235" i="8"/>
  <c r="L235" i="8" s="1"/>
  <c r="Q40" i="8"/>
  <c r="BA200" i="8"/>
  <c r="Q200" i="8" s="1"/>
  <c r="AU219" i="8"/>
  <c r="K219" i="8" s="1"/>
  <c r="AU61" i="8"/>
  <c r="K61" i="8" s="1"/>
  <c r="N101" i="8"/>
  <c r="L179" i="8"/>
  <c r="L193" i="8"/>
  <c r="BA322" i="8"/>
  <c r="Q322" i="8" s="1"/>
  <c r="AY211" i="8"/>
  <c r="O211" i="8" s="1"/>
  <c r="AX191" i="8"/>
  <c r="N191" i="8" s="1"/>
  <c r="K101" i="8"/>
  <c r="AW257" i="8"/>
  <c r="M257" i="8" s="1"/>
  <c r="AU129" i="8"/>
  <c r="K129" i="8" s="1"/>
  <c r="AS35" i="8"/>
  <c r="I35" i="8" s="1"/>
  <c r="BA263" i="8"/>
  <c r="Q263" i="8" s="1"/>
  <c r="B263" i="8" s="1"/>
  <c r="AQ217" i="8"/>
  <c r="G217" i="8" s="1"/>
  <c r="AY267" i="8"/>
  <c r="O267" i="8" s="1"/>
  <c r="L353" i="8"/>
  <c r="AX123" i="8"/>
  <c r="N123" i="8" s="1"/>
  <c r="K349" i="8"/>
  <c r="AX43" i="8"/>
  <c r="N43" i="8" s="1"/>
  <c r="AV8" i="8"/>
  <c r="L8" i="8" s="1"/>
  <c r="I360" i="8"/>
  <c r="J355" i="8"/>
  <c r="AU7" i="8"/>
  <c r="K7" i="8" s="1"/>
  <c r="AU300" i="8"/>
  <c r="K300" i="8" s="1"/>
  <c r="AY174" i="8"/>
  <c r="O174" i="8" s="1"/>
  <c r="K283" i="8"/>
  <c r="M404" i="8"/>
  <c r="BA57" i="8"/>
  <c r="Q57" i="8" s="1"/>
  <c r="BA365" i="8"/>
  <c r="Q365" i="8" s="1"/>
  <c r="AU214" i="8"/>
  <c r="K214" i="8" s="1"/>
  <c r="I331" i="8"/>
  <c r="AW118" i="8"/>
  <c r="M118" i="8" s="1"/>
  <c r="AY73" i="8"/>
  <c r="O73" i="8" s="1"/>
  <c r="Q140" i="8"/>
  <c r="AP282" i="8"/>
  <c r="N171" i="8"/>
  <c r="F125" i="8"/>
  <c r="AV221" i="8"/>
  <c r="L221" i="8" s="1"/>
  <c r="AW215" i="8"/>
  <c r="M215" i="8" s="1"/>
  <c r="V21" i="8"/>
  <c r="AS205" i="5"/>
  <c r="AK34" i="2"/>
  <c r="BA100" i="8"/>
  <c r="Q100" i="8" s="1"/>
  <c r="G3" i="8"/>
  <c r="AP151" i="8"/>
  <c r="F151" i="8" s="1"/>
  <c r="AW91" i="8"/>
  <c r="M91" i="8" s="1"/>
  <c r="AW40" i="8"/>
  <c r="M40" i="8" s="1"/>
  <c r="AU123" i="8"/>
  <c r="K123" i="8" s="1"/>
  <c r="AW308" i="8"/>
  <c r="M308" i="8" s="1"/>
  <c r="BA248" i="8"/>
  <c r="Q248" i="8" s="1"/>
  <c r="AW61" i="8"/>
  <c r="M61" i="8" s="1"/>
  <c r="L123" i="8"/>
  <c r="AW391" i="8"/>
  <c r="M391" i="8" s="1"/>
  <c r="AU146" i="8"/>
  <c r="K146" i="8" s="1"/>
  <c r="AY169" i="8"/>
  <c r="O169" i="8" s="1"/>
  <c r="L128" i="8"/>
  <c r="AP71" i="8"/>
  <c r="F71" i="8" s="1"/>
  <c r="Q262" i="8"/>
  <c r="K216" i="8"/>
  <c r="P358" i="8"/>
  <c r="AW328" i="8"/>
  <c r="M328" i="8" s="1"/>
  <c r="BA271" i="8"/>
  <c r="Q271" i="8" s="1"/>
  <c r="AX223" i="8"/>
  <c r="N223" i="8" s="1"/>
  <c r="AU133" i="8"/>
  <c r="K133" i="8" s="1"/>
  <c r="AY302" i="8"/>
  <c r="O302" i="8" s="1"/>
  <c r="AU264" i="8"/>
  <c r="K264" i="8" s="1"/>
  <c r="AV324" i="8"/>
  <c r="L324" i="8" s="1"/>
  <c r="AN205" i="5"/>
  <c r="AW137" i="8"/>
  <c r="M137" i="8" s="1"/>
  <c r="L340" i="8"/>
  <c r="AS27" i="8"/>
  <c r="I27" i="8" s="1"/>
  <c r="N245" i="8"/>
  <c r="F281" i="8"/>
  <c r="AW355" i="8"/>
  <c r="M355" i="8" s="1"/>
  <c r="BA137" i="8"/>
  <c r="Q137" i="8" s="1"/>
  <c r="AY276" i="8"/>
  <c r="O276" i="8" s="1"/>
  <c r="AW198" i="8"/>
  <c r="M198" i="8" s="1"/>
  <c r="AU69" i="8"/>
  <c r="K69" i="8" s="1"/>
  <c r="N67" i="8"/>
  <c r="Q211" i="8"/>
  <c r="AP145" i="8"/>
  <c r="F145" i="8" s="1"/>
  <c r="F103" i="8"/>
  <c r="AU190" i="8"/>
  <c r="K190" i="8" s="1"/>
  <c r="AY219" i="8"/>
  <c r="O219" i="8" s="1"/>
  <c r="N251" i="8"/>
  <c r="AP303" i="8"/>
  <c r="F303" i="8" s="1"/>
  <c r="AU311" i="8"/>
  <c r="K311" i="8" s="1"/>
  <c r="BA233" i="8"/>
  <c r="Q233" i="8" s="1"/>
  <c r="P371" i="8"/>
  <c r="N230" i="8"/>
  <c r="O33" i="8"/>
  <c r="BA164" i="8"/>
  <c r="Q164" i="8" s="1"/>
  <c r="AS328" i="8"/>
  <c r="I328" i="8" s="1"/>
  <c r="AQ280" i="8"/>
  <c r="G280" i="8" s="1"/>
  <c r="AU352" i="8"/>
  <c r="K352" i="8" s="1"/>
  <c r="AW371" i="8"/>
  <c r="M371" i="8" s="1"/>
  <c r="AX233" i="8"/>
  <c r="N233" i="8" s="1"/>
  <c r="AW200" i="8"/>
  <c r="M200" i="8" s="1"/>
  <c r="AY248" i="8"/>
  <c r="O248" i="8" s="1"/>
  <c r="AW332" i="8"/>
  <c r="M332" i="8" s="1"/>
  <c r="BA327" i="8"/>
  <c r="Q327" i="8" s="1"/>
  <c r="I371" i="8"/>
  <c r="AY243" i="8"/>
  <c r="O243" i="8" s="1"/>
  <c r="J369" i="8"/>
  <c r="AU280" i="8"/>
  <c r="K280" i="8" s="1"/>
  <c r="K368" i="8"/>
  <c r="AY157" i="8"/>
  <c r="O157" i="8" s="1"/>
  <c r="BA22" i="8"/>
  <c r="Q22" i="8" s="1"/>
  <c r="AU110" i="8"/>
  <c r="K110" i="8" s="1"/>
  <c r="N207" i="8"/>
  <c r="N155" i="8"/>
  <c r="AU201" i="8"/>
  <c r="K201" i="8" s="1"/>
  <c r="AZ271" i="8"/>
  <c r="P271" i="8" s="1"/>
  <c r="BA66" i="8"/>
  <c r="Q66" i="8" s="1"/>
  <c r="AW153" i="8"/>
  <c r="M153" i="8" s="1"/>
  <c r="AU212" i="8"/>
  <c r="K212" i="8" s="1"/>
  <c r="L352" i="8"/>
  <c r="AU167" i="8"/>
  <c r="K167" i="8" s="1"/>
  <c r="AY21" i="8"/>
  <c r="O21" i="8" s="1"/>
  <c r="N68" i="8"/>
  <c r="AW155" i="8"/>
  <c r="M155" i="8" s="1"/>
  <c r="AY27" i="8"/>
  <c r="O27" i="8" s="1"/>
  <c r="P44" i="8"/>
  <c r="AY3" i="8"/>
  <c r="O3" i="8" s="1"/>
  <c r="K330" i="8"/>
  <c r="AY2" i="8"/>
  <c r="O2" i="8" s="1"/>
  <c r="AW79" i="8"/>
  <c r="M79" i="8" s="1"/>
  <c r="L5" i="8"/>
  <c r="AU246" i="8"/>
  <c r="K246" i="8" s="1"/>
  <c r="AQ203" i="8"/>
  <c r="G203" i="8" s="1"/>
  <c r="AW156" i="8"/>
  <c r="M156" i="8" s="1"/>
  <c r="AW259" i="8"/>
  <c r="M259" i="8" s="1"/>
  <c r="AZ352" i="8"/>
  <c r="P352" i="8" s="1"/>
  <c r="AW174" i="8"/>
  <c r="M174" i="8" s="1"/>
  <c r="M15" i="8"/>
  <c r="AY262" i="8"/>
  <c r="O262" i="8" s="1"/>
  <c r="AY185" i="8"/>
  <c r="O185" i="8" s="1"/>
  <c r="BA283" i="8"/>
  <c r="Q283" i="8" s="1"/>
  <c r="BA324" i="8"/>
  <c r="Q324" i="8" s="1"/>
  <c r="AY177" i="8"/>
  <c r="O177" i="8" s="1"/>
  <c r="AW65" i="8"/>
  <c r="M65" i="8" s="1"/>
  <c r="AV41" i="8"/>
  <c r="L41" i="8" s="1"/>
  <c r="AX310" i="8"/>
  <c r="N310" i="8" s="1"/>
  <c r="BA341" i="8"/>
  <c r="Q341" i="8" s="1"/>
  <c r="AW82" i="8"/>
  <c r="M82" i="8" s="1"/>
  <c r="AW94" i="8"/>
  <c r="M94" i="8" s="1"/>
  <c r="AW178" i="8"/>
  <c r="M178" i="8" s="1"/>
  <c r="AU334" i="8"/>
  <c r="K334" i="8" s="1"/>
  <c r="V87" i="8"/>
  <c r="AS58" i="5"/>
  <c r="AK12" i="2"/>
  <c r="AU76" i="8"/>
  <c r="K76" i="8" s="1"/>
  <c r="N117" i="8"/>
  <c r="AW209" i="8"/>
  <c r="M209" i="8" s="1"/>
  <c r="AU187" i="8"/>
  <c r="K187" i="8" s="1"/>
  <c r="AU93" i="8"/>
  <c r="K93" i="8" s="1"/>
  <c r="AW335" i="8"/>
  <c r="M335" i="8" s="1"/>
  <c r="AY97" i="8"/>
  <c r="O97" i="8" s="1"/>
  <c r="AP273" i="8"/>
  <c r="F273" i="8" s="1"/>
  <c r="AV265" i="8"/>
  <c r="L265" i="8" s="1"/>
  <c r="AQ278" i="8"/>
  <c r="G278" i="8" s="1"/>
  <c r="BA358" i="8"/>
  <c r="Q358" i="8" s="1"/>
  <c r="AV337" i="8"/>
  <c r="L337" i="8" s="1"/>
  <c r="I358" i="8"/>
  <c r="AW81" i="8"/>
  <c r="M81" i="8" s="1"/>
  <c r="AV13" i="8"/>
  <c r="L13" i="8" s="1"/>
  <c r="AW168" i="8"/>
  <c r="M168" i="8" s="1"/>
  <c r="AU53" i="8"/>
  <c r="K53" i="8" s="1"/>
  <c r="AR174" i="5"/>
  <c r="AX34" i="8"/>
  <c r="N34" i="8" s="1"/>
  <c r="AU62" i="8"/>
  <c r="K62" i="8" s="1"/>
  <c r="N302" i="8"/>
  <c r="AP264" i="8"/>
  <c r="F264" i="8" s="1"/>
  <c r="BA403" i="8"/>
  <c r="Q403" i="8" s="1"/>
  <c r="B403" i="8" s="1"/>
  <c r="AZ4" i="8"/>
  <c r="P4" i="8" s="1"/>
  <c r="AX276" i="8"/>
  <c r="N276" i="8" s="1"/>
  <c r="AW147" i="8"/>
  <c r="M147" i="8" s="1"/>
  <c r="AP42" i="8"/>
  <c r="F42" i="8" s="1"/>
  <c r="AW337" i="8"/>
  <c r="M337" i="8" s="1"/>
  <c r="AY54" i="8"/>
  <c r="O54" i="8" s="1"/>
  <c r="AW224" i="8"/>
  <c r="M224" i="8" s="1"/>
  <c r="F155" i="8"/>
  <c r="N250" i="8"/>
  <c r="AP47" i="8"/>
  <c r="F47" i="8" s="1"/>
  <c r="AW255" i="8"/>
  <c r="M255" i="8" s="1"/>
  <c r="AS379" i="8"/>
  <c r="I379" i="8" s="1"/>
  <c r="Q69" i="8"/>
  <c r="AY69" i="8"/>
  <c r="O69" i="8" s="1"/>
  <c r="AV293" i="8"/>
  <c r="L293" i="8" s="1"/>
  <c r="N227" i="8"/>
  <c r="AQ49" i="8"/>
  <c r="G49" i="8" s="1"/>
  <c r="Q315" i="8"/>
  <c r="AU244" i="8"/>
  <c r="K244" i="8" s="1"/>
  <c r="F39" i="8"/>
  <c r="F187" i="8"/>
  <c r="AW21" i="8"/>
  <c r="M21" i="8" s="1"/>
  <c r="AW286" i="8"/>
  <c r="M286" i="8" s="1"/>
  <c r="L279" i="8"/>
  <c r="BA94" i="8"/>
  <c r="Q94" i="8" s="1"/>
  <c r="AZ372" i="8"/>
  <c r="P372" i="8" s="1"/>
  <c r="AW326" i="8"/>
  <c r="M326" i="8" s="1"/>
  <c r="AS349" i="8"/>
  <c r="I349" i="8" s="1"/>
  <c r="N164" i="8"/>
  <c r="AQ239" i="8"/>
  <c r="G239" i="8" s="1"/>
  <c r="AQ170" i="8"/>
  <c r="G170" i="8" s="1"/>
  <c r="F217" i="8"/>
  <c r="AW110" i="8"/>
  <c r="M110" i="8" s="1"/>
  <c r="AW45" i="8"/>
  <c r="M45" i="8" s="1"/>
  <c r="Q357" i="8"/>
  <c r="G2" i="8"/>
  <c r="G165" i="8"/>
  <c r="AW334" i="8"/>
  <c r="M334" i="8" s="1"/>
  <c r="AW20" i="8"/>
  <c r="M20" i="8" s="1"/>
  <c r="G232" i="8"/>
  <c r="AX278" i="8"/>
  <c r="N278" i="8" s="1"/>
  <c r="AU182" i="8"/>
  <c r="K182" i="8" s="1"/>
  <c r="AS361" i="8"/>
  <c r="I361" i="8" s="1"/>
  <c r="BA404" i="8"/>
  <c r="Q404" i="8" s="1"/>
  <c r="B404" i="8" s="1"/>
  <c r="F268" i="8"/>
  <c r="F104" i="8"/>
  <c r="AW268" i="8"/>
  <c r="M268" i="8" s="1"/>
  <c r="AY17" i="8"/>
  <c r="O17" i="8" s="1"/>
  <c r="Q25" i="8"/>
  <c r="AP175" i="8"/>
  <c r="F175" i="8" s="1"/>
  <c r="N27" i="8"/>
  <c r="AY137" i="8"/>
  <c r="O137" i="8" s="1"/>
  <c r="AX373" i="8"/>
  <c r="N373" i="8" s="1"/>
  <c r="N357" i="8"/>
  <c r="L378" i="8"/>
  <c r="N218" i="8"/>
  <c r="AY261" i="8"/>
  <c r="O261" i="8" s="1"/>
  <c r="AU232" i="8"/>
  <c r="K232" i="8" s="1"/>
  <c r="F279" i="8"/>
  <c r="AX311" i="8"/>
  <c r="N311" i="8" s="1"/>
  <c r="AX134" i="8"/>
  <c r="N134" i="8" s="1"/>
  <c r="BA24" i="8"/>
  <c r="Q24" i="8" s="1"/>
  <c r="BA330" i="8"/>
  <c r="Q330" i="8" s="1"/>
  <c r="AW191" i="8"/>
  <c r="M191" i="8" s="1"/>
  <c r="AV220" i="8"/>
  <c r="L220" i="8" s="1"/>
  <c r="BA313" i="8"/>
  <c r="Q313" i="8" s="1"/>
  <c r="M245" i="8"/>
  <c r="AW227" i="8"/>
  <c r="M227" i="8" s="1"/>
  <c r="L34" i="8"/>
  <c r="AP82" i="8"/>
  <c r="F82" i="8" s="1"/>
  <c r="I364" i="8"/>
  <c r="AY96" i="8"/>
  <c r="O96" i="8" s="1"/>
  <c r="AV224" i="8"/>
  <c r="L224" i="8" s="1"/>
  <c r="AW67" i="8"/>
  <c r="M67" i="8" s="1"/>
  <c r="AS344" i="8"/>
  <c r="I344" i="8" s="1"/>
  <c r="AW251" i="8"/>
  <c r="M251" i="8" s="1"/>
  <c r="AV192" i="8"/>
  <c r="L192" i="8" s="1"/>
  <c r="N115" i="8"/>
  <c r="AW288" i="8"/>
  <c r="M288" i="8" s="1"/>
  <c r="AN61" i="5"/>
  <c r="Q72" i="8"/>
  <c r="K337" i="8"/>
  <c r="Q9" i="8"/>
  <c r="L211" i="8"/>
  <c r="AU164" i="8"/>
  <c r="K164" i="8" s="1"/>
  <c r="BA239" i="8"/>
  <c r="Q239" i="8" s="1"/>
  <c r="BA286" i="8"/>
  <c r="Q286" i="8" s="1"/>
  <c r="BA298" i="8"/>
  <c r="Q298" i="8" s="1"/>
  <c r="AU303" i="8"/>
  <c r="K303" i="8" s="1"/>
  <c r="AZ168" i="8"/>
  <c r="P168" i="8" s="1"/>
  <c r="N187" i="8"/>
  <c r="AS32" i="8"/>
  <c r="I32" i="8" s="1"/>
  <c r="N102" i="8"/>
  <c r="AS367" i="8"/>
  <c r="I367" i="8" s="1"/>
  <c r="AZ363" i="8"/>
  <c r="P363" i="8" s="1"/>
  <c r="AS205" i="8"/>
  <c r="I205" i="8" s="1"/>
  <c r="AZ90" i="8"/>
  <c r="P90" i="8" s="1"/>
  <c r="AU142" i="8"/>
  <c r="K142" i="8" s="1"/>
  <c r="AU288" i="8"/>
  <c r="K288" i="8" s="1"/>
  <c r="AU268" i="8"/>
  <c r="K268" i="8" s="1"/>
  <c r="AU237" i="8"/>
  <c r="K237" i="8" s="1"/>
  <c r="L139" i="8"/>
  <c r="L335" i="8"/>
  <c r="AY200" i="8"/>
  <c r="O200" i="8" s="1"/>
  <c r="I237" i="8"/>
  <c r="L50" i="8"/>
  <c r="P298" i="8"/>
  <c r="I346" i="8"/>
  <c r="AU184" i="8"/>
  <c r="K184" i="8" s="1"/>
  <c r="Q182" i="8"/>
  <c r="AQ196" i="8"/>
  <c r="G196" i="8" s="1"/>
  <c r="AW143" i="8"/>
  <c r="M143" i="8" s="1"/>
  <c r="AW302" i="8"/>
  <c r="M302" i="8" s="1"/>
  <c r="AW277" i="8"/>
  <c r="M277" i="8" s="1"/>
  <c r="AW12" i="8"/>
  <c r="M12" i="8" s="1"/>
  <c r="BA359" i="8"/>
  <c r="Q359" i="8" s="1"/>
  <c r="AW192" i="8"/>
  <c r="M192" i="8" s="1"/>
  <c r="AQ179" i="8"/>
  <c r="G179" i="8" s="1"/>
  <c r="AY209" i="8"/>
  <c r="O209" i="8" s="1"/>
  <c r="AY159" i="8"/>
  <c r="O159" i="8" s="1"/>
  <c r="AW338" i="8"/>
  <c r="M338" i="8" s="1"/>
  <c r="I206" i="8"/>
  <c r="N2" i="8"/>
  <c r="BA306" i="8"/>
  <c r="Q306" i="8" s="1"/>
  <c r="K376" i="8"/>
  <c r="BA332" i="8"/>
  <c r="Q332" i="8" s="1"/>
  <c r="AU305" i="8"/>
  <c r="K305" i="8" s="1"/>
  <c r="L195" i="8"/>
  <c r="BA349" i="8"/>
  <c r="Q349" i="8" s="1"/>
  <c r="L261" i="8"/>
  <c r="AW263" i="8"/>
  <c r="M263" i="8" s="1"/>
  <c r="N60" i="8"/>
  <c r="L134" i="8"/>
  <c r="N77" i="8"/>
  <c r="AW99" i="8"/>
  <c r="M99" i="8" s="1"/>
  <c r="AY155" i="8"/>
  <c r="O155" i="8" s="1"/>
  <c r="N39" i="8"/>
  <c r="AU108" i="8"/>
  <c r="K108" i="8" s="1"/>
  <c r="AU234" i="8"/>
  <c r="K234" i="8" s="1"/>
  <c r="P140" i="8"/>
  <c r="AU81" i="8"/>
  <c r="K81" i="8" s="1"/>
  <c r="P228" i="8"/>
  <c r="L336" i="8"/>
  <c r="AW42" i="8"/>
  <c r="M42" i="8" s="1"/>
  <c r="L227" i="8"/>
  <c r="AU258" i="8"/>
  <c r="K258" i="8" s="1"/>
  <c r="N354" i="8"/>
  <c r="L374" i="8"/>
  <c r="AY376" i="8"/>
  <c r="O376" i="8" s="1"/>
  <c r="K317" i="8"/>
  <c r="AY92" i="8"/>
  <c r="O92" i="8" s="1"/>
  <c r="AU206" i="8"/>
  <c r="K206" i="8" s="1"/>
  <c r="AU23" i="8"/>
  <c r="K23" i="8" s="1"/>
  <c r="Q176" i="8"/>
  <c r="U158" i="8"/>
  <c r="AR133" i="5"/>
  <c r="BA123" i="8"/>
  <c r="Q123" i="8" s="1"/>
  <c r="AY55" i="8"/>
  <c r="O55" i="8" s="1"/>
  <c r="AU40" i="8"/>
  <c r="K40" i="8" s="1"/>
  <c r="BA339" i="8"/>
  <c r="Q339" i="8" s="1"/>
  <c r="AY78" i="8"/>
  <c r="O78" i="8" s="1"/>
  <c r="AS357" i="8"/>
  <c r="I357" i="8" s="1"/>
  <c r="AW351" i="8"/>
  <c r="M351" i="8" s="1"/>
  <c r="K331" i="8"/>
  <c r="AN133" i="5"/>
  <c r="AB158" i="8"/>
  <c r="AZ158" i="8" s="1"/>
  <c r="AY133" i="5"/>
  <c r="O370" i="8"/>
  <c r="AY290" i="8"/>
  <c r="O290" i="8" s="1"/>
  <c r="K367" i="8"/>
  <c r="AU254" i="5"/>
  <c r="AI26" i="8"/>
  <c r="AU26" i="8" s="1"/>
  <c r="K26" i="8" s="1"/>
  <c r="L234" i="8"/>
  <c r="AV44" i="8"/>
  <c r="L44" i="8" s="1"/>
  <c r="AU251" i="8"/>
  <c r="K251" i="8" s="1"/>
  <c r="K341" i="8"/>
  <c r="AU205" i="8"/>
  <c r="K205" i="8" s="1"/>
  <c r="AX219" i="8"/>
  <c r="N219" i="8" s="1"/>
  <c r="K4" i="8"/>
  <c r="AU284" i="8"/>
  <c r="K284" i="8" s="1"/>
  <c r="AW319" i="8"/>
  <c r="M319" i="8" s="1"/>
  <c r="AW264" i="8"/>
  <c r="M264" i="8" s="1"/>
  <c r="AP256" i="8"/>
  <c r="F256" i="8" s="1"/>
  <c r="AU96" i="8"/>
  <c r="K96" i="8" s="1"/>
  <c r="P369" i="8"/>
  <c r="AP235" i="8"/>
  <c r="F235" i="8" s="1"/>
  <c r="AW149" i="8"/>
  <c r="M149" i="8" s="1"/>
  <c r="L28" i="8"/>
  <c r="AV225" i="8"/>
  <c r="L225" i="8" s="1"/>
  <c r="AW321" i="8"/>
  <c r="M321" i="8" s="1"/>
  <c r="AV166" i="8"/>
  <c r="L166" i="8" s="1"/>
  <c r="Q39" i="8"/>
  <c r="AW35" i="8"/>
  <c r="M35" i="8" s="1"/>
  <c r="AY229" i="8"/>
  <c r="O229" i="8" s="1"/>
  <c r="AW372" i="8"/>
  <c r="M372" i="8" s="1"/>
  <c r="L141" i="8"/>
  <c r="M278" i="8"/>
  <c r="AP129" i="8"/>
  <c r="F129" i="8" s="1"/>
  <c r="AY14" i="8"/>
  <c r="O14" i="8" s="1"/>
  <c r="BA265" i="8"/>
  <c r="Q265" i="8" s="1"/>
  <c r="L42" i="8"/>
  <c r="F282" i="8"/>
  <c r="K342" i="8"/>
  <c r="K56" i="8"/>
  <c r="G228" i="8"/>
  <c r="AU199" i="8"/>
  <c r="K199" i="8" s="1"/>
  <c r="W158" i="8"/>
  <c r="AT133" i="5"/>
  <c r="AW352" i="8"/>
  <c r="M352" i="8" s="1"/>
  <c r="AW36" i="8"/>
  <c r="M36" i="8" s="1"/>
  <c r="K313" i="8"/>
  <c r="AQ13" i="8"/>
  <c r="G13" i="8" s="1"/>
  <c r="AY6" i="8"/>
  <c r="O6" i="8" s="1"/>
  <c r="AX352" i="8"/>
  <c r="N352" i="8" s="1"/>
  <c r="AU105" i="8"/>
  <c r="K105" i="8" s="1"/>
  <c r="AX360" i="8"/>
  <c r="N360" i="8" s="1"/>
  <c r="AY218" i="8"/>
  <c r="O218" i="8" s="1"/>
  <c r="K345" i="8"/>
  <c r="AQ23" i="8"/>
  <c r="G23" i="8" s="1"/>
  <c r="AW393" i="8"/>
  <c r="M393" i="8" s="1"/>
  <c r="L109" i="8"/>
  <c r="AW182" i="8"/>
  <c r="M182" i="8" s="1"/>
  <c r="AQ16" i="8"/>
  <c r="G16" i="8" s="1"/>
  <c r="BA323" i="8"/>
  <c r="Q323" i="8" s="1"/>
  <c r="J119" i="8"/>
  <c r="AU185" i="8"/>
  <c r="K185" i="8" s="1"/>
  <c r="F213" i="8"/>
  <c r="N298" i="8"/>
  <c r="AU124" i="8"/>
  <c r="K124" i="8" s="1"/>
  <c r="AW9" i="8"/>
  <c r="M9" i="8" s="1"/>
  <c r="AU118" i="8"/>
  <c r="K118" i="8" s="1"/>
  <c r="AY171" i="8"/>
  <c r="O171" i="8" s="1"/>
  <c r="AU43" i="8"/>
  <c r="K43" i="8" s="1"/>
  <c r="Q311" i="8"/>
  <c r="AU99" i="8"/>
  <c r="K99" i="8" s="1"/>
  <c r="Q208" i="8"/>
  <c r="AY142" i="8"/>
  <c r="O142" i="8" s="1"/>
  <c r="K350" i="8"/>
  <c r="BA287" i="8"/>
  <c r="Q287" i="8" s="1"/>
  <c r="G202" i="8"/>
  <c r="BA387" i="8"/>
  <c r="Q387" i="8" s="1"/>
  <c r="B387" i="8" s="1"/>
  <c r="AW242" i="8"/>
  <c r="M242" i="8" s="1"/>
  <c r="AP174" i="8"/>
  <c r="F174" i="8" s="1"/>
  <c r="BA207" i="8"/>
  <c r="Q207" i="8" s="1"/>
  <c r="AU115" i="8"/>
  <c r="K115" i="8" s="1"/>
  <c r="Q106" i="8"/>
  <c r="AW105" i="8"/>
  <c r="M105" i="8" s="1"/>
  <c r="F241" i="8"/>
  <c r="BA52" i="8"/>
  <c r="Q52" i="8" s="1"/>
  <c r="AY231" i="8"/>
  <c r="O231" i="8" s="1"/>
  <c r="AU16" i="8"/>
  <c r="K16" i="8" s="1"/>
  <c r="BA33" i="8"/>
  <c r="Q33" i="8" s="1"/>
  <c r="N44" i="8"/>
  <c r="I370" i="8"/>
  <c r="AX51" i="8"/>
  <c r="N51" i="8" s="1"/>
  <c r="I332" i="8"/>
  <c r="L285" i="8"/>
  <c r="AW241" i="8"/>
  <c r="M241" i="8" s="1"/>
  <c r="F56" i="8"/>
  <c r="F163" i="8"/>
  <c r="AW375" i="8"/>
  <c r="M375" i="8" s="1"/>
  <c r="F65" i="8"/>
  <c r="AW219" i="8"/>
  <c r="M219" i="8" s="1"/>
  <c r="L311" i="8"/>
  <c r="AX168" i="8"/>
  <c r="N168" i="8" s="1"/>
  <c r="BA364" i="8"/>
  <c r="Q364" i="8" s="1"/>
  <c r="AU360" i="8"/>
  <c r="K360" i="8" s="1"/>
  <c r="AU9" i="8"/>
  <c r="K9" i="8" s="1"/>
  <c r="L367" i="8"/>
  <c r="AZ34" i="8"/>
  <c r="P34" i="8" s="1"/>
  <c r="M34" i="8"/>
  <c r="AY143" i="8"/>
  <c r="O143" i="8" s="1"/>
  <c r="J375" i="8"/>
  <c r="AY61" i="8"/>
  <c r="O61" i="8" s="1"/>
  <c r="AP215" i="8"/>
  <c r="F215" i="8" s="1"/>
  <c r="I187" i="8"/>
  <c r="BA288" i="8"/>
  <c r="Q288" i="8" s="1"/>
  <c r="F266" i="8"/>
  <c r="Q154" i="8"/>
  <c r="Q132" i="8"/>
  <c r="BA92" i="8"/>
  <c r="Q92" i="8" s="1"/>
  <c r="BA38" i="8"/>
  <c r="Q38" i="8" s="1"/>
  <c r="B38" i="8" s="1"/>
  <c r="AU189" i="8"/>
  <c r="K189" i="8" s="1"/>
  <c r="Q237" i="8"/>
  <c r="Q8" i="8"/>
  <c r="I204" i="8"/>
  <c r="AP162" i="8"/>
  <c r="F162" i="8" s="1"/>
  <c r="Q226" i="8"/>
  <c r="L29" i="8"/>
  <c r="L219" i="8"/>
  <c r="AT360" i="8"/>
  <c r="J360" i="8" s="1"/>
  <c r="AU94" i="8"/>
  <c r="K94" i="8" s="1"/>
  <c r="L280" i="8"/>
  <c r="AW59" i="8"/>
  <c r="M59" i="8" s="1"/>
  <c r="AY110" i="8"/>
  <c r="O110" i="8" s="1"/>
  <c r="AU6" i="8"/>
  <c r="K6" i="8" s="1"/>
  <c r="AU204" i="8"/>
  <c r="K204" i="8" s="1"/>
  <c r="AY4" i="8"/>
  <c r="O4" i="8" s="1"/>
  <c r="O361" i="8"/>
  <c r="L297" i="8"/>
  <c r="AW275" i="8"/>
  <c r="M275" i="8" s="1"/>
  <c r="AY230" i="8"/>
  <c r="O230" i="8" s="1"/>
  <c r="AW175" i="8"/>
  <c r="M175" i="8" s="1"/>
  <c r="N376" i="8"/>
  <c r="N139" i="8"/>
  <c r="AY291" i="8"/>
  <c r="O291" i="8" s="1"/>
  <c r="O357" i="8"/>
  <c r="AS23" i="5"/>
  <c r="V56" i="8"/>
  <c r="AK36" i="2"/>
  <c r="AY214" i="8"/>
  <c r="O214" i="8" s="1"/>
  <c r="AW139" i="8"/>
  <c r="M139" i="8" s="1"/>
  <c r="AW163" i="8"/>
  <c r="M163" i="8" s="1"/>
  <c r="AW86" i="8"/>
  <c r="M86" i="8" s="1"/>
  <c r="AW322" i="8"/>
  <c r="M322" i="8" s="1"/>
  <c r="AW54" i="8"/>
  <c r="M54" i="8" s="1"/>
  <c r="AP24" i="8"/>
  <c r="F24" i="8" s="1"/>
  <c r="F176" i="8"/>
  <c r="F154" i="8"/>
  <c r="AY266" i="8"/>
  <c r="O266" i="8" s="1"/>
  <c r="K58" i="8"/>
  <c r="AW101" i="8"/>
  <c r="M101" i="8" s="1"/>
  <c r="L346" i="8"/>
  <c r="AV327" i="8"/>
  <c r="L327" i="8" s="1"/>
  <c r="B327" i="8" s="1"/>
  <c r="AX320" i="8"/>
  <c r="N320" i="8" s="1"/>
  <c r="K35" i="8"/>
  <c r="AY115" i="8"/>
  <c r="O115" i="8" s="1"/>
  <c r="AW2" i="8"/>
  <c r="M2" i="8" s="1"/>
  <c r="AT372" i="8"/>
  <c r="J372" i="8" s="1"/>
  <c r="Q46" i="8"/>
  <c r="AW97" i="8"/>
  <c r="M97" i="8" s="1"/>
  <c r="AU106" i="8"/>
  <c r="K106" i="8" s="1"/>
  <c r="AS189" i="8"/>
  <c r="I189" i="8" s="1"/>
  <c r="BA70" i="8"/>
  <c r="Q70" i="8" s="1"/>
  <c r="AV364" i="8"/>
  <c r="L364" i="8" s="1"/>
  <c r="BA197" i="8"/>
  <c r="Q197" i="8" s="1"/>
  <c r="AY216" i="8"/>
  <c r="O216" i="8" s="1"/>
  <c r="AP254" i="8"/>
  <c r="F254" i="8" s="1"/>
  <c r="L369" i="8"/>
  <c r="AZ139" i="8"/>
  <c r="P139" i="8" s="1"/>
  <c r="AZ96" i="2"/>
  <c r="AW342" i="8"/>
  <c r="M342" i="8" s="1"/>
  <c r="Q236" i="8"/>
  <c r="AV232" i="8"/>
  <c r="L232" i="8" s="1"/>
  <c r="B232" i="8" s="1"/>
  <c r="BA371" i="8"/>
  <c r="Q371" i="8" s="1"/>
  <c r="AU277" i="8"/>
  <c r="K277" i="8" s="1"/>
  <c r="AX375" i="8"/>
  <c r="N375" i="8" s="1"/>
  <c r="AW130" i="8"/>
  <c r="M130" i="8" s="1"/>
  <c r="N212" i="8"/>
  <c r="BA32" i="8"/>
  <c r="Q32" i="8" s="1"/>
  <c r="AP25" i="8"/>
  <c r="F25" i="8" s="1"/>
  <c r="AY9" i="8"/>
  <c r="O9" i="8" s="1"/>
  <c r="K112" i="8"/>
  <c r="N111" i="8"/>
  <c r="L373" i="8"/>
  <c r="AU183" i="8"/>
  <c r="K183" i="8" s="1"/>
  <c r="AU213" i="8"/>
  <c r="K213" i="8" s="1"/>
  <c r="N294" i="8"/>
  <c r="AU92" i="8"/>
  <c r="K92" i="8" s="1"/>
  <c r="AT98" i="8"/>
  <c r="J98" i="8" s="1"/>
  <c r="B98" i="8" s="1"/>
  <c r="AW315" i="8"/>
  <c r="M315" i="8" s="1"/>
  <c r="BA209" i="8"/>
  <c r="Q209" i="8" s="1"/>
  <c r="AP257" i="8"/>
  <c r="F257" i="8" s="1"/>
  <c r="AU86" i="8"/>
  <c r="K86" i="8" s="1"/>
  <c r="AV350" i="8"/>
  <c r="L350" i="8" s="1"/>
  <c r="AU140" i="8"/>
  <c r="K140" i="8" s="1"/>
  <c r="BA402" i="8"/>
  <c r="Q402" i="8" s="1"/>
  <c r="B402" i="8" s="1"/>
  <c r="AQ134" i="8"/>
  <c r="G134" i="8" s="1"/>
  <c r="AW186" i="8"/>
  <c r="M186" i="8" s="1"/>
  <c r="BA399" i="8"/>
  <c r="Q399" i="8" s="1"/>
  <c r="B399" i="8" s="1"/>
  <c r="K83" i="8"/>
  <c r="AW128" i="8"/>
  <c r="M128" i="8" s="1"/>
  <c r="L276" i="8"/>
  <c r="AV357" i="8"/>
  <c r="L357" i="8" s="1"/>
  <c r="K270" i="8"/>
  <c r="L314" i="8"/>
  <c r="AU55" i="8"/>
  <c r="K55" i="8" s="1"/>
  <c r="AY118" i="8"/>
  <c r="O118" i="8" s="1"/>
  <c r="AX241" i="8"/>
  <c r="N241" i="8" s="1"/>
  <c r="AP133" i="8"/>
  <c r="F133" i="8" s="1"/>
  <c r="BA178" i="8"/>
  <c r="Q178" i="8" s="1"/>
  <c r="AY289" i="8"/>
  <c r="O289" i="8" s="1"/>
  <c r="L35" i="8"/>
  <c r="AW92" i="8"/>
  <c r="M92" i="8" s="1"/>
  <c r="AQ252" i="8"/>
  <c r="G252" i="8" s="1"/>
  <c r="I353" i="8"/>
  <c r="AU52" i="8"/>
  <c r="K52" i="8" s="1"/>
  <c r="AU132" i="8"/>
  <c r="K132" i="8" s="1"/>
  <c r="L198" i="8"/>
  <c r="AW365" i="8"/>
  <c r="M365" i="8" s="1"/>
  <c r="P378" i="8"/>
  <c r="AU3" i="8"/>
  <c r="K3" i="8" s="1"/>
  <c r="AY85" i="8"/>
  <c r="O85" i="8" s="1"/>
  <c r="B85" i="8" s="1"/>
  <c r="BA65" i="8"/>
  <c r="Q65" i="8" s="1"/>
  <c r="AW148" i="8"/>
  <c r="M148" i="8" s="1"/>
  <c r="AU287" i="8"/>
  <c r="K287" i="8" s="1"/>
  <c r="AV370" i="8"/>
  <c r="L370" i="8" s="1"/>
  <c r="AX130" i="8"/>
  <c r="N130" i="8" s="1"/>
  <c r="F169" i="8"/>
  <c r="AX107" i="8"/>
  <c r="N107" i="8" s="1"/>
  <c r="L112" i="8"/>
  <c r="AY121" i="8"/>
  <c r="O121" i="8" s="1"/>
  <c r="AY79" i="8"/>
  <c r="O79" i="8" s="1"/>
  <c r="AU328" i="8"/>
  <c r="K328" i="8" s="1"/>
  <c r="K346" i="8"/>
  <c r="AS324" i="8"/>
  <c r="I324" i="8" s="1"/>
  <c r="K226" i="8"/>
  <c r="N29" i="8"/>
  <c r="AU125" i="8"/>
  <c r="K125" i="8" s="1"/>
  <c r="N165" i="8"/>
  <c r="AU325" i="8"/>
  <c r="K325" i="8" s="1"/>
  <c r="AX110" i="8"/>
  <c r="N110" i="8" s="1"/>
  <c r="BA325" i="8"/>
  <c r="Q325" i="8" s="1"/>
  <c r="L334" i="8"/>
  <c r="AX367" i="8"/>
  <c r="N367" i="8" s="1"/>
  <c r="AS326" i="8"/>
  <c r="I326" i="8" s="1"/>
  <c r="AV230" i="8"/>
  <c r="L230" i="8" s="1"/>
  <c r="L110" i="8"/>
  <c r="J377" i="8"/>
  <c r="AS335" i="8"/>
  <c r="I335" i="8" s="1"/>
  <c r="P368" i="8"/>
  <c r="AY105" i="8"/>
  <c r="O105" i="8" s="1"/>
  <c r="I169" i="8"/>
  <c r="AY166" i="8"/>
  <c r="O166" i="8" s="1"/>
  <c r="AW18" i="8"/>
  <c r="M18" i="8" s="1"/>
  <c r="G241" i="8"/>
  <c r="J366" i="8"/>
  <c r="BA398" i="8"/>
  <c r="Q398" i="8" s="1"/>
  <c r="B398" i="8" s="1"/>
  <c r="AW170" i="8"/>
  <c r="M170" i="8" s="1"/>
  <c r="AO158" i="8"/>
  <c r="BA133" i="5"/>
  <c r="AV360" i="8"/>
  <c r="L360" i="8" s="1"/>
  <c r="AW31" i="8"/>
  <c r="M31" i="8" s="1"/>
  <c r="K358" i="8"/>
  <c r="AY74" i="8"/>
  <c r="O74" i="8" s="1"/>
  <c r="N364" i="8"/>
  <c r="AY178" i="8"/>
  <c r="O178" i="8" s="1"/>
  <c r="AP278" i="8"/>
  <c r="F278" i="8" s="1"/>
  <c r="K332" i="8"/>
  <c r="G166" i="8"/>
  <c r="AW284" i="8"/>
  <c r="M284" i="8" s="1"/>
  <c r="N78" i="8"/>
  <c r="N351" i="8"/>
  <c r="BA59" i="8"/>
  <c r="Q59" i="8" s="1"/>
  <c r="N105" i="8"/>
  <c r="N23" i="8"/>
  <c r="AK158" i="8"/>
  <c r="AW133" i="5"/>
  <c r="AU47" i="8"/>
  <c r="K47" i="8" s="1"/>
  <c r="G174" i="8"/>
  <c r="Q273" i="8"/>
  <c r="AX271" i="8"/>
  <c r="N271" i="8" s="1"/>
  <c r="BA147" i="8"/>
  <c r="Q147" i="8" s="1"/>
  <c r="L259" i="8"/>
  <c r="AX371" i="8"/>
  <c r="N371" i="8" s="1"/>
  <c r="AY162" i="8"/>
  <c r="O162" i="8" s="1"/>
  <c r="L302" i="8"/>
  <c r="J370" i="8"/>
  <c r="AX277" i="8"/>
  <c r="N277" i="8" s="1"/>
  <c r="AY377" i="8"/>
  <c r="O377" i="8" s="1"/>
  <c r="AY220" i="8"/>
  <c r="O220" i="8" s="1"/>
  <c r="L379" i="8"/>
  <c r="AW246" i="8"/>
  <c r="M246" i="8" s="1"/>
  <c r="AU233" i="8"/>
  <c r="K233" i="8" s="1"/>
  <c r="AV187" i="8"/>
  <c r="L187" i="8" s="1"/>
  <c r="AY241" i="8"/>
  <c r="O241" i="8" s="1"/>
  <c r="AX216" i="8"/>
  <c r="N216" i="8" s="1"/>
  <c r="AY172" i="8"/>
  <c r="O172" i="8" s="1"/>
  <c r="B172" i="8" s="1"/>
  <c r="AU147" i="8"/>
  <c r="K147" i="8" s="1"/>
  <c r="N49" i="8"/>
  <c r="F157" i="8"/>
  <c r="AW320" i="8"/>
  <c r="M320" i="8" s="1"/>
  <c r="L315" i="8"/>
  <c r="AQ118" i="8"/>
  <c r="G118" i="8" s="1"/>
  <c r="AU8" i="8"/>
  <c r="K8" i="8" s="1"/>
  <c r="AQ12" i="8"/>
  <c r="G12" i="8" s="1"/>
  <c r="P359" i="8"/>
  <c r="AY282" i="8"/>
  <c r="O282" i="8" s="1"/>
  <c r="AW392" i="8"/>
  <c r="M392" i="8" s="1"/>
  <c r="N80" i="8"/>
  <c r="AU259" i="8"/>
  <c r="K259" i="8" s="1"/>
  <c r="BA18" i="8"/>
  <c r="Q18" i="8" s="1"/>
  <c r="M197" i="8"/>
  <c r="BA102" i="8"/>
  <c r="Q102" i="8" s="1"/>
  <c r="AX42" i="8"/>
  <c r="N42" i="8" s="1"/>
  <c r="AW295" i="8"/>
  <c r="M295" i="8" s="1"/>
  <c r="AW141" i="8"/>
  <c r="M141" i="8" s="1"/>
  <c r="I375" i="8"/>
  <c r="N129" i="8"/>
  <c r="AU60" i="8"/>
  <c r="K60" i="8" s="1"/>
  <c r="F18" i="8"/>
  <c r="BA68" i="8"/>
  <c r="Q68" i="8" s="1"/>
  <c r="AW399" i="8"/>
  <c r="M399" i="8" s="1"/>
  <c r="I263" i="8"/>
  <c r="AN254" i="5"/>
  <c r="AY301" i="8"/>
  <c r="O301" i="8" s="1"/>
  <c r="BA268" i="8"/>
  <c r="Q268" i="8" s="1"/>
  <c r="Q177" i="8"/>
  <c r="AW243" i="8"/>
  <c r="M243" i="8" s="1"/>
  <c r="AY256" i="8"/>
  <c r="O256" i="8" s="1"/>
  <c r="AP105" i="8"/>
  <c r="F105" i="8" s="1"/>
  <c r="AS316" i="8"/>
  <c r="I316" i="8" s="1"/>
  <c r="Q275" i="8"/>
  <c r="AW41" i="8"/>
  <c r="M41" i="8" s="1"/>
  <c r="AY203" i="8"/>
  <c r="O203" i="8" s="1"/>
  <c r="AW169" i="8"/>
  <c r="M169" i="8" s="1"/>
  <c r="N181" i="8"/>
  <c r="L339" i="8"/>
  <c r="AY140" i="8"/>
  <c r="O140" i="8" s="1"/>
  <c r="BA390" i="8"/>
  <c r="Q390" i="8" s="1"/>
  <c r="B390" i="8" s="1"/>
  <c r="AU41" i="8"/>
  <c r="K41" i="8" s="1"/>
  <c r="AU128" i="8"/>
  <c r="K128" i="8" s="1"/>
  <c r="N362" i="8"/>
  <c r="AU170" i="8"/>
  <c r="K170" i="8" s="1"/>
  <c r="AW307" i="8"/>
  <c r="M307" i="8" s="1"/>
  <c r="I369" i="8"/>
  <c r="L56" i="8"/>
  <c r="K34" i="8"/>
  <c r="AW160" i="8"/>
  <c r="M160" i="8" s="1"/>
  <c r="F227" i="8"/>
  <c r="AW103" i="8"/>
  <c r="M103" i="8" s="1"/>
  <c r="AU25" i="8"/>
  <c r="K25" i="8" s="1"/>
  <c r="AW69" i="8"/>
  <c r="M69" i="8" s="1"/>
  <c r="AW350" i="8"/>
  <c r="M350" i="8" s="1"/>
  <c r="AY102" i="8"/>
  <c r="O102" i="8" s="1"/>
  <c r="AY259" i="8"/>
  <c r="O259" i="8" s="1"/>
  <c r="AV46" i="8"/>
  <c r="L46" i="8" s="1"/>
  <c r="AY19" i="8"/>
  <c r="O19" i="8" s="1"/>
  <c r="AU134" i="8"/>
  <c r="K134" i="8" s="1"/>
  <c r="AY63" i="8"/>
  <c r="O63" i="8" s="1"/>
  <c r="AW346" i="8"/>
  <c r="M346" i="8" s="1"/>
  <c r="AY249" i="8"/>
  <c r="O249" i="8" s="1"/>
  <c r="AS365" i="8"/>
  <c r="I365" i="8" s="1"/>
  <c r="AW8" i="8"/>
  <c r="M8" i="8" s="1"/>
  <c r="AX8" i="8"/>
  <c r="N8" i="8" s="1"/>
  <c r="BA276" i="8"/>
  <c r="Q276" i="8" s="1"/>
  <c r="AU27" i="8"/>
  <c r="K27" i="8" s="1"/>
  <c r="AU46" i="8"/>
  <c r="K46" i="8" s="1"/>
  <c r="AY245" i="8"/>
  <c r="O245" i="8" s="1"/>
  <c r="AY235" i="8"/>
  <c r="O235" i="8" s="1"/>
  <c r="AW353" i="8"/>
  <c r="M353" i="8" s="1"/>
  <c r="AU71" i="8"/>
  <c r="K71" i="8" s="1"/>
  <c r="BA333" i="8"/>
  <c r="Q333" i="8" s="1"/>
  <c r="L169" i="8"/>
  <c r="O352" i="8"/>
  <c r="AY148" i="8"/>
  <c r="O148" i="8" s="1"/>
  <c r="AY298" i="8"/>
  <c r="O298" i="8" s="1"/>
  <c r="K307" i="8"/>
  <c r="N282" i="8"/>
  <c r="I378" i="8"/>
  <c r="AU289" i="8"/>
  <c r="K289" i="8" s="1"/>
  <c r="L277" i="8"/>
  <c r="J373" i="8"/>
  <c r="L317" i="8"/>
  <c r="O117" i="8"/>
  <c r="L376" i="8"/>
  <c r="I33" i="8"/>
  <c r="N228" i="8"/>
  <c r="P364" i="8"/>
  <c r="AY179" i="8"/>
  <c r="O179" i="8" s="1"/>
  <c r="AW314" i="8"/>
  <c r="M314" i="8" s="1"/>
  <c r="AU235" i="8"/>
  <c r="K235" i="8" s="1"/>
  <c r="N290" i="8"/>
  <c r="AU230" i="8"/>
  <c r="K230" i="8" s="1"/>
  <c r="L228" i="8"/>
  <c r="AU74" i="8"/>
  <c r="K74" i="8" s="1"/>
  <c r="N201" i="8"/>
  <c r="L319" i="8"/>
  <c r="AW39" i="8"/>
  <c r="M39" i="8" s="1"/>
  <c r="AW317" i="8"/>
  <c r="M317" i="8" s="1"/>
  <c r="N183" i="8"/>
  <c r="AU315" i="8"/>
  <c r="K315" i="8" s="1"/>
  <c r="L331" i="8"/>
  <c r="B331" i="8" s="1"/>
  <c r="AW78" i="8"/>
  <c r="M78" i="8" s="1"/>
  <c r="N121" i="8"/>
  <c r="AU70" i="8"/>
  <c r="K70" i="8" s="1"/>
  <c r="AU91" i="8"/>
  <c r="K91" i="8" s="1"/>
  <c r="N112" i="8"/>
  <c r="AY244" i="8"/>
  <c r="O244" i="8" s="1"/>
  <c r="BA195" i="8"/>
  <c r="Q195" i="8" s="1"/>
  <c r="AW109" i="8"/>
  <c r="M109" i="8" s="1"/>
  <c r="N170" i="8"/>
  <c r="AU87" i="8"/>
  <c r="K87" i="8" s="1"/>
  <c r="AY299" i="8"/>
  <c r="O299" i="8" s="1"/>
  <c r="AW303" i="8"/>
  <c r="M303" i="8" s="1"/>
  <c r="N186" i="8"/>
  <c r="J365" i="8"/>
  <c r="AU223" i="8"/>
  <c r="K223" i="8" s="1"/>
  <c r="AW354" i="8"/>
  <c r="M354" i="8" s="1"/>
  <c r="AU30" i="8"/>
  <c r="K30" i="8" s="1"/>
  <c r="AY65" i="8"/>
  <c r="O65" i="8" s="1"/>
  <c r="AV217" i="8"/>
  <c r="L217" i="8" s="1"/>
  <c r="AY62" i="8"/>
  <c r="O62" i="8" s="1"/>
  <c r="L216" i="8"/>
  <c r="AW217" i="8"/>
  <c r="M217" i="8" s="1"/>
  <c r="L116" i="8"/>
  <c r="AW183" i="8"/>
  <c r="M183" i="8" s="1"/>
  <c r="AV70" i="8"/>
  <c r="L70" i="8" s="1"/>
  <c r="AW329" i="8"/>
  <c r="M329" i="8" s="1"/>
  <c r="AV251" i="8"/>
  <c r="L251" i="8" s="1"/>
  <c r="AZ365" i="8"/>
  <c r="P365" i="8" s="1"/>
  <c r="AU175" i="8"/>
  <c r="K175" i="8" s="1"/>
  <c r="AY242" i="8"/>
  <c r="O242" i="8" s="1"/>
  <c r="BA241" i="8"/>
  <c r="Q241" i="8" s="1"/>
  <c r="BA48" i="8"/>
  <c r="Q48" i="8" s="1"/>
  <c r="F54" i="8"/>
  <c r="AU298" i="8"/>
  <c r="K298" i="8" s="1"/>
  <c r="AU160" i="8"/>
  <c r="K160" i="8" s="1"/>
  <c r="AY15" i="8"/>
  <c r="O15" i="8" s="1"/>
  <c r="L133" i="8"/>
  <c r="BA96" i="8"/>
  <c r="Q96" i="8" s="1"/>
  <c r="AU10" i="8"/>
  <c r="K10" i="8" s="1"/>
  <c r="Q266" i="8"/>
  <c r="L341" i="8"/>
  <c r="AV61" i="8"/>
  <c r="L61" i="8" s="1"/>
  <c r="L359" i="8"/>
  <c r="AY264" i="8"/>
  <c r="O264" i="8" s="1"/>
  <c r="AW180" i="8"/>
  <c r="M180" i="8" s="1"/>
  <c r="N153" i="8"/>
  <c r="AY283" i="8"/>
  <c r="O283" i="8" s="1"/>
  <c r="AP285" i="8"/>
  <c r="F285" i="8" s="1"/>
  <c r="I274" i="8"/>
  <c r="AS167" i="8"/>
  <c r="I167" i="8" s="1"/>
  <c r="N292" i="8"/>
  <c r="AU240" i="8"/>
  <c r="K240" i="8" s="1"/>
  <c r="K379" i="8"/>
  <c r="AU366" i="8"/>
  <c r="K366" i="8" s="1"/>
  <c r="AW194" i="8"/>
  <c r="M194" i="8" s="1"/>
  <c r="M359" i="8"/>
  <c r="N203" i="8"/>
  <c r="G205" i="8"/>
  <c r="N122" i="8"/>
  <c r="AP231" i="8"/>
  <c r="F231" i="8" s="1"/>
  <c r="N361" i="8"/>
  <c r="AY29" i="8"/>
  <c r="O29" i="8" s="1"/>
  <c r="BA350" i="8"/>
  <c r="Q350" i="8" s="1"/>
  <c r="N154" i="8"/>
  <c r="BA55" i="8"/>
  <c r="Q55" i="8" s="1"/>
  <c r="AW43" i="8"/>
  <c r="M43" i="8" s="1"/>
  <c r="AW166" i="8"/>
  <c r="M166" i="8" s="1"/>
  <c r="AV140" i="8"/>
  <c r="L140" i="8" s="1"/>
  <c r="L7" i="8"/>
  <c r="AX270" i="8"/>
  <c r="N270" i="8" s="1"/>
  <c r="BA10" i="8"/>
  <c r="Q10" i="8" s="1"/>
  <c r="K272" i="8"/>
  <c r="AZ67" i="8"/>
  <c r="P67" i="8" s="1"/>
  <c r="BA297" i="8"/>
  <c r="Q297" i="8" s="1"/>
  <c r="K169" i="8"/>
  <c r="L372" i="8"/>
  <c r="AU186" i="8"/>
  <c r="K186" i="8" s="1"/>
  <c r="AW256" i="8"/>
  <c r="M256" i="8" s="1"/>
  <c r="AU253" i="8"/>
  <c r="K253" i="8" s="1"/>
  <c r="L78" i="8"/>
  <c r="Q281" i="8"/>
  <c r="L59" i="8"/>
  <c r="Q107" i="8"/>
  <c r="O356" i="8"/>
  <c r="AU82" i="8"/>
  <c r="K82" i="8" s="1"/>
  <c r="L313" i="8"/>
  <c r="BA47" i="8"/>
  <c r="Q47" i="8" s="1"/>
  <c r="AZ361" i="8"/>
  <c r="P361" i="8" s="1"/>
  <c r="AU51" i="8"/>
  <c r="K51" i="8" s="1"/>
  <c r="L218" i="8"/>
  <c r="AW113" i="8"/>
  <c r="M113" i="8" s="1"/>
  <c r="AW104" i="8"/>
  <c r="M104" i="8" s="1"/>
  <c r="J376" i="8"/>
  <c r="AU19" i="8"/>
  <c r="K19" i="8" s="1"/>
  <c r="AV45" i="8"/>
  <c r="L45" i="8" s="1"/>
  <c r="AX295" i="8"/>
  <c r="N295" i="8" s="1"/>
  <c r="I363" i="8"/>
  <c r="AS354" i="8"/>
  <c r="I354" i="8" s="1"/>
  <c r="BA202" i="8"/>
  <c r="Q202" i="8" s="1"/>
  <c r="AV19" i="8"/>
  <c r="L19" i="8" s="1"/>
  <c r="BA14" i="8"/>
  <c r="Q14" i="8" s="1"/>
  <c r="BA231" i="8"/>
  <c r="Q231" i="8" s="1"/>
  <c r="AY125" i="8"/>
  <c r="O125" i="8" s="1"/>
  <c r="AU144" i="8"/>
  <c r="K144" i="8" s="1"/>
  <c r="L267" i="8"/>
  <c r="Q219" i="8"/>
  <c r="Q212" i="8"/>
  <c r="N269" i="8"/>
  <c r="BA121" i="8"/>
  <c r="Q121" i="8" s="1"/>
  <c r="AX224" i="8"/>
  <c r="N224" i="8" s="1"/>
  <c r="N81" i="8"/>
  <c r="L307" i="8"/>
  <c r="AP178" i="8"/>
  <c r="F178" i="8" s="1"/>
  <c r="AS355" i="8"/>
  <c r="I355" i="8" s="1"/>
  <c r="Q80" i="8"/>
  <c r="Q152" i="8"/>
  <c r="AT361" i="8"/>
  <c r="J361" i="8" s="1"/>
  <c r="AP43" i="8"/>
  <c r="F43" i="8" s="1"/>
  <c r="AX313" i="8"/>
  <c r="N313" i="8" s="1"/>
  <c r="I338" i="8"/>
  <c r="AP53" i="8"/>
  <c r="F53" i="8" s="1"/>
  <c r="L9" i="8"/>
  <c r="I234" i="8"/>
  <c r="F182" i="8"/>
  <c r="K373" i="8"/>
  <c r="N214" i="8"/>
  <c r="AW292" i="8"/>
  <c r="M292" i="8" s="1"/>
  <c r="AY270" i="8"/>
  <c r="O270" i="8" s="1"/>
  <c r="Q278" i="8"/>
  <c r="BA230" i="8"/>
  <c r="Q230" i="8" s="1"/>
  <c r="AV55" i="8"/>
  <c r="L55" i="8" s="1"/>
  <c r="L294" i="8"/>
  <c r="AY72" i="8"/>
  <c r="O72" i="8" s="1"/>
  <c r="AX296" i="8"/>
  <c r="N296" i="8" s="1"/>
  <c r="BL96" i="2"/>
  <c r="Q125" i="8"/>
  <c r="BA362" i="8"/>
  <c r="Q362" i="8" s="1"/>
  <c r="Q122" i="8"/>
  <c r="AV240" i="8"/>
  <c r="L240" i="8" s="1"/>
  <c r="AV17" i="8"/>
  <c r="L17" i="8" s="1"/>
  <c r="AV99" i="8"/>
  <c r="L99" i="8" s="1"/>
  <c r="AP261" i="8"/>
  <c r="F261" i="8" s="1"/>
  <c r="AW379" i="8"/>
  <c r="M379" i="8" s="1"/>
  <c r="AZ207" i="8"/>
  <c r="P207" i="8" s="1"/>
  <c r="AS23" i="8"/>
  <c r="I23" i="8" s="1"/>
  <c r="F26" i="8"/>
  <c r="BA183" i="8"/>
  <c r="Q183" i="8" s="1"/>
  <c r="AX17" i="8"/>
  <c r="N17" i="8" s="1"/>
  <c r="G201" i="8"/>
  <c r="BA389" i="8"/>
  <c r="Q389" i="8" s="1"/>
  <c r="B389" i="8" s="1"/>
  <c r="M205" i="8"/>
  <c r="AY23" i="8"/>
  <c r="O23" i="8" s="1"/>
  <c r="N83" i="8"/>
  <c r="P219" i="8"/>
  <c r="N133" i="8"/>
  <c r="AW293" i="8"/>
  <c r="M293" i="8" s="1"/>
  <c r="N65" i="8"/>
  <c r="AY7" i="8"/>
  <c r="O7" i="8" s="1"/>
  <c r="N300" i="8"/>
  <c r="BA135" i="8"/>
  <c r="Q135" i="8" s="1"/>
  <c r="AW24" i="8"/>
  <c r="M24" i="8" s="1"/>
  <c r="AX87" i="8"/>
  <c r="N87" i="8" s="1"/>
  <c r="L10" i="8"/>
  <c r="AU257" i="8"/>
  <c r="K257" i="8" s="1"/>
  <c r="AU66" i="8"/>
  <c r="K66" i="8" s="1"/>
  <c r="AW187" i="8"/>
  <c r="M187" i="8" s="1"/>
  <c r="AY149" i="8"/>
  <c r="O149" i="8" s="1"/>
  <c r="L53" i="8"/>
  <c r="AY268" i="8"/>
  <c r="O268" i="8" s="1"/>
  <c r="L182" i="8"/>
  <c r="BA118" i="8"/>
  <c r="Q118" i="8" s="1"/>
  <c r="BA36" i="8"/>
  <c r="Q36" i="8" s="1"/>
  <c r="B36" i="8" s="1"/>
  <c r="AY28" i="8"/>
  <c r="O28" i="8" s="1"/>
  <c r="N363" i="8"/>
  <c r="AW102" i="8"/>
  <c r="M102" i="8" s="1"/>
  <c r="F243" i="8"/>
  <c r="AU250" i="8"/>
  <c r="K250" i="8" s="1"/>
  <c r="AY175" i="8"/>
  <c r="O175" i="8" s="1"/>
  <c r="AU361" i="8"/>
  <c r="K361" i="8" s="1"/>
  <c r="AW298" i="8"/>
  <c r="M298" i="8" s="1"/>
  <c r="AC158" i="8"/>
  <c r="AZ133" i="5"/>
  <c r="L290" i="8"/>
  <c r="K166" i="8"/>
  <c r="AU290" i="8"/>
  <c r="K290" i="8" s="1"/>
  <c r="AS321" i="8"/>
  <c r="I321" i="8" s="1"/>
  <c r="AP196" i="8"/>
  <c r="F196" i="8" s="1"/>
  <c r="L316" i="8"/>
  <c r="AU50" i="8"/>
  <c r="K50" i="8" s="1"/>
  <c r="P367" i="8"/>
  <c r="AW377" i="8"/>
  <c r="M377" i="8" s="1"/>
  <c r="AW228" i="8"/>
  <c r="M228" i="8" s="1"/>
  <c r="AW11" i="8"/>
  <c r="M11" i="8" s="1"/>
  <c r="BA28" i="8"/>
  <c r="Q28" i="8" s="1"/>
  <c r="K351" i="8"/>
  <c r="Q56" i="8"/>
  <c r="O351" i="8"/>
  <c r="AU211" i="8"/>
  <c r="K211" i="8" s="1"/>
  <c r="N243" i="8"/>
  <c r="P130" i="8"/>
  <c r="AU13" i="8"/>
  <c r="K13" i="8" s="1"/>
  <c r="AW140" i="8"/>
  <c r="M140" i="8" s="1"/>
  <c r="AW76" i="8"/>
  <c r="M76" i="8" s="1"/>
  <c r="AW83" i="8"/>
  <c r="M83" i="8" s="1"/>
  <c r="L49" i="8"/>
  <c r="AU11" i="8"/>
  <c r="K11" i="8" s="1"/>
  <c r="K333" i="8"/>
  <c r="AP76" i="8"/>
  <c r="F76" i="8" s="1"/>
  <c r="AV347" i="8"/>
  <c r="L347" i="8" s="1"/>
  <c r="B347" i="8" s="1"/>
  <c r="N163" i="8"/>
  <c r="BA282" i="8"/>
  <c r="Q282" i="8" s="1"/>
  <c r="N28" i="8"/>
  <c r="N377" i="8"/>
  <c r="M195" i="8"/>
  <c r="AW32" i="8"/>
  <c r="M32" i="8" s="1"/>
  <c r="AU203" i="8"/>
  <c r="K203" i="8" s="1"/>
  <c r="J353" i="8"/>
  <c r="AW310" i="8"/>
  <c r="M310" i="8" s="1"/>
  <c r="AQ15" i="8"/>
  <c r="G15" i="8" s="1"/>
  <c r="AS348" i="8"/>
  <c r="I348" i="8" s="1"/>
  <c r="AY215" i="8"/>
  <c r="O215" i="8" s="1"/>
  <c r="BA124" i="8"/>
  <c r="Q124" i="8" s="1"/>
  <c r="BA159" i="8"/>
  <c r="Q159" i="8" s="1"/>
  <c r="AW127" i="8"/>
  <c r="M127" i="8" s="1"/>
  <c r="AS207" i="8"/>
  <c r="I207" i="8" s="1"/>
  <c r="AQ164" i="8"/>
  <c r="G164" i="8" s="1"/>
  <c r="AW58" i="8"/>
  <c r="M58" i="8" s="1"/>
  <c r="AS337" i="8"/>
  <c r="I337" i="8" s="1"/>
  <c r="AQ132" i="8"/>
  <c r="G132" i="8" s="1"/>
  <c r="N244" i="8"/>
  <c r="AX113" i="8"/>
  <c r="N113" i="8" s="1"/>
  <c r="BA30" i="8"/>
  <c r="Q30" i="8" s="1"/>
  <c r="BA392" i="8"/>
  <c r="Q392" i="8" s="1"/>
  <c r="B392" i="8" s="1"/>
  <c r="AW327" i="8"/>
  <c r="M327" i="8" s="1"/>
  <c r="BA76" i="8"/>
  <c r="Q76" i="8" s="1"/>
  <c r="I15" i="8"/>
  <c r="AY141" i="8"/>
  <c r="O141" i="8" s="1"/>
  <c r="AZ290" i="8"/>
  <c r="P290" i="8" s="1"/>
  <c r="AW26" i="8"/>
  <c r="M26" i="8" s="1"/>
  <c r="AW367" i="8"/>
  <c r="M367" i="8" s="1"/>
  <c r="AV208" i="8"/>
  <c r="L208" i="8" s="1"/>
  <c r="BA110" i="8"/>
  <c r="Q110" i="8" s="1"/>
  <c r="L160" i="8"/>
  <c r="P250" i="8"/>
  <c r="N291" i="8"/>
  <c r="AY194" i="8"/>
  <c r="O194" i="8" s="1"/>
  <c r="AX12" i="8"/>
  <c r="N12" i="8" s="1"/>
  <c r="AW66" i="8"/>
  <c r="M66" i="8" s="1"/>
  <c r="F293" i="8"/>
  <c r="N20" i="8"/>
  <c r="AQ116" i="8"/>
  <c r="G116" i="8" s="1"/>
  <c r="L287" i="8"/>
  <c r="AW214" i="8"/>
  <c r="M214" i="8" s="1"/>
  <c r="AP57" i="8"/>
  <c r="F57" i="8" s="1"/>
  <c r="K224" i="8"/>
  <c r="K339" i="8"/>
  <c r="AU252" i="8"/>
  <c r="K252" i="8" s="1"/>
  <c r="L138" i="8"/>
  <c r="AW189" i="8"/>
  <c r="M189" i="8" s="1"/>
  <c r="AX365" i="8"/>
  <c r="N365" i="8" s="1"/>
  <c r="AW114" i="8"/>
  <c r="M114" i="8" s="1"/>
  <c r="Q115" i="8"/>
  <c r="AT35" i="8"/>
  <c r="J35" i="8" s="1"/>
  <c r="Q187" i="8"/>
  <c r="M173" i="8"/>
  <c r="AW226" i="8"/>
  <c r="M226" i="8" s="1"/>
  <c r="I359" i="8"/>
  <c r="L368" i="8"/>
  <c r="M51" i="8"/>
  <c r="AX247" i="8"/>
  <c r="N247" i="8" s="1"/>
  <c r="AW193" i="8"/>
  <c r="M193" i="8" s="1"/>
  <c r="Q163" i="8"/>
  <c r="AV223" i="8"/>
  <c r="L223" i="8" s="1"/>
  <c r="AY221" i="8"/>
  <c r="O221" i="8" s="1"/>
  <c r="G133" i="8"/>
  <c r="M386" i="8"/>
  <c r="K370" i="8"/>
  <c r="AU73" i="8"/>
  <c r="K73" i="8" s="1"/>
  <c r="P248" i="8"/>
  <c r="BA329" i="8"/>
  <c r="Q329" i="8" s="1"/>
  <c r="AP73" i="8"/>
  <c r="F73" i="8" s="1"/>
  <c r="AP83" i="8"/>
  <c r="F83" i="8" s="1"/>
  <c r="K103" i="8"/>
  <c r="AU340" i="8"/>
  <c r="K340" i="8" s="1"/>
  <c r="K344" i="8"/>
  <c r="AQ285" i="8"/>
  <c r="G285" i="8" s="1"/>
  <c r="BA168" i="8"/>
  <c r="Q168" i="8" s="1"/>
  <c r="AY50" i="8"/>
  <c r="O50" i="8" s="1"/>
  <c r="Q261" i="8"/>
  <c r="I376" i="8"/>
  <c r="M53" i="8"/>
  <c r="N235" i="8"/>
  <c r="AY255" i="8"/>
  <c r="O255" i="8" s="1"/>
  <c r="AY293" i="8"/>
  <c r="O293" i="8" s="1"/>
  <c r="AX179" i="8"/>
  <c r="N179" i="8" s="1"/>
  <c r="AW4" i="8"/>
  <c r="M4" i="8" s="1"/>
  <c r="BA64" i="8"/>
  <c r="Q64" i="8" s="1"/>
  <c r="M239" i="8"/>
  <c r="AP259" i="8"/>
  <c r="F259" i="8" s="1"/>
  <c r="AP212" i="8"/>
  <c r="F212" i="8" s="1"/>
  <c r="AU130" i="8"/>
  <c r="K130" i="8" s="1"/>
  <c r="AX368" i="8"/>
  <c r="N368" i="8" s="1"/>
  <c r="L114" i="8"/>
  <c r="AP204" i="8"/>
  <c r="F204" i="8" s="1"/>
  <c r="AW90" i="8"/>
  <c r="M90" i="8" s="1"/>
  <c r="I280" i="8"/>
  <c r="AX202" i="8"/>
  <c r="N202" i="8" s="1"/>
  <c r="H119" i="8"/>
  <c r="AP45" i="8"/>
  <c r="F45" i="8" s="1"/>
  <c r="O360" i="8"/>
  <c r="AP124" i="8"/>
  <c r="F124" i="8" s="1"/>
  <c r="G22" i="8"/>
  <c r="M387" i="8"/>
  <c r="AT359" i="8"/>
  <c r="J359" i="8" s="1"/>
  <c r="AU193" i="8"/>
  <c r="K193" i="8" s="1"/>
  <c r="Q82" i="8"/>
  <c r="AW201" i="8"/>
  <c r="M201" i="8" s="1"/>
  <c r="AP240" i="8"/>
  <c r="F240" i="8" s="1"/>
  <c r="AU67" i="8"/>
  <c r="K67" i="8" s="1"/>
  <c r="AX145" i="8"/>
  <c r="N145" i="8" s="1"/>
  <c r="AP153" i="8"/>
  <c r="F153" i="8" s="1"/>
  <c r="AP252" i="8"/>
  <c r="F252" i="8" s="1"/>
  <c r="AP269" i="8"/>
  <c r="F269" i="8" s="1"/>
  <c r="J356" i="8"/>
  <c r="N4" i="8"/>
  <c r="N141" i="8"/>
  <c r="I312" i="8"/>
  <c r="AS356" i="8"/>
  <c r="I356" i="8" s="1"/>
  <c r="BA58" i="8"/>
  <c r="Q58" i="8" s="1"/>
  <c r="P211" i="8"/>
  <c r="AY224" i="8"/>
  <c r="O224" i="8" s="1"/>
  <c r="N303" i="8"/>
  <c r="AV344" i="8"/>
  <c r="L344" i="8" s="1"/>
  <c r="AY91" i="8"/>
  <c r="O91" i="8" s="1"/>
  <c r="Q215" i="8"/>
  <c r="AW132" i="8"/>
  <c r="M132" i="8" s="1"/>
  <c r="AX259" i="8"/>
  <c r="N259" i="8" s="1"/>
  <c r="AY12" i="8"/>
  <c r="O12" i="8" s="1"/>
  <c r="AY188" i="8"/>
  <c r="O188" i="8" s="1"/>
  <c r="L183" i="8"/>
  <c r="AP79" i="8"/>
  <c r="F79" i="8" s="1"/>
  <c r="AU181" i="8"/>
  <c r="K181" i="8" s="1"/>
  <c r="Q206" i="8"/>
  <c r="AX16" i="8"/>
  <c r="N16" i="8" s="1"/>
  <c r="AW115" i="8"/>
  <c r="M115" i="8" s="1"/>
  <c r="AY353" i="8"/>
  <c r="O353" i="8" s="1"/>
  <c r="AY18" i="8"/>
  <c r="O18" i="8" s="1"/>
  <c r="AP118" i="8"/>
  <c r="F118" i="8" s="1"/>
  <c r="BA314" i="8"/>
  <c r="Q314" i="8" s="1"/>
  <c r="M279" i="8"/>
  <c r="L312" i="8"/>
  <c r="AY127" i="8"/>
  <c r="O127" i="8" s="1"/>
  <c r="I352" i="8"/>
  <c r="AW247" i="8"/>
  <c r="M247" i="8" s="1"/>
  <c r="F165" i="8"/>
  <c r="AY119" i="8"/>
  <c r="O119" i="8" s="1"/>
  <c r="AW87" i="8"/>
  <c r="M87" i="8" s="1"/>
  <c r="AV68" i="8"/>
  <c r="L68" i="8" s="1"/>
  <c r="AV74" i="8"/>
  <c r="L74" i="8" s="1"/>
  <c r="AP40" i="8"/>
  <c r="F40" i="8" s="1"/>
  <c r="AU117" i="8"/>
  <c r="K117" i="8" s="1"/>
  <c r="L176" i="8"/>
  <c r="AS315" i="8"/>
  <c r="I315" i="8" s="1"/>
  <c r="BA198" i="8"/>
  <c r="Q198" i="8" s="1"/>
  <c r="AS319" i="8"/>
  <c r="I319" i="8" s="1"/>
  <c r="P208" i="8"/>
  <c r="N177" i="8"/>
  <c r="L320" i="8"/>
  <c r="N378" i="8"/>
  <c r="AW378" i="8"/>
  <c r="M378" i="8" s="1"/>
  <c r="J362" i="8"/>
  <c r="AW306" i="8"/>
  <c r="M306" i="8" s="1"/>
  <c r="AY371" i="8"/>
  <c r="O371" i="8" s="1"/>
  <c r="AW324" i="8"/>
  <c r="M324" i="8" s="1"/>
  <c r="AV281" i="8"/>
  <c r="L281" i="8" s="1"/>
  <c r="L377" i="8"/>
  <c r="F9" i="8"/>
  <c r="AU78" i="8"/>
  <c r="K78" i="8" s="1"/>
  <c r="AW301" i="8"/>
  <c r="M301" i="8" s="1"/>
  <c r="N26" i="8"/>
  <c r="AP167" i="8"/>
  <c r="F167" i="8" s="1"/>
  <c r="AW14" i="8"/>
  <c r="M14" i="8" s="1"/>
  <c r="M203" i="8"/>
  <c r="AW33" i="8"/>
  <c r="M33" i="8" s="1"/>
  <c r="BA388" i="8"/>
  <c r="Q388" i="8" s="1"/>
  <c r="B388" i="8" s="1"/>
  <c r="AY362" i="8"/>
  <c r="O362" i="8" s="1"/>
  <c r="L361" i="8"/>
  <c r="AW13" i="8"/>
  <c r="M13" i="8" s="1"/>
  <c r="N11" i="8"/>
  <c r="AW62" i="8"/>
  <c r="M62" i="8" s="1"/>
  <c r="AP171" i="8"/>
  <c r="F171" i="8" s="1"/>
  <c r="AX109" i="8"/>
  <c r="N109" i="8" s="1"/>
  <c r="M202" i="8"/>
  <c r="BA326" i="8"/>
  <c r="Q326" i="8" s="1"/>
  <c r="B326" i="8" s="1"/>
  <c r="BA393" i="8"/>
  <c r="Q393" i="8" s="1"/>
  <c r="B393" i="8" s="1"/>
  <c r="AX225" i="8"/>
  <c r="N225" i="8" s="1"/>
  <c r="N3" i="8"/>
  <c r="AY247" i="8"/>
  <c r="O247" i="8" s="1"/>
  <c r="AS347" i="8"/>
  <c r="I347" i="8" s="1"/>
  <c r="AY80" i="8"/>
  <c r="O80" i="8" s="1"/>
  <c r="AS305" i="8"/>
  <c r="I305" i="8" s="1"/>
  <c r="F234" i="8"/>
  <c r="F226" i="8"/>
  <c r="F201" i="8"/>
  <c r="AY292" i="8"/>
  <c r="O292" i="8" s="1"/>
  <c r="AP244" i="8"/>
  <c r="F244" i="8" s="1"/>
  <c r="N314" i="8"/>
  <c r="P355" i="8"/>
  <c r="AU155" i="8"/>
  <c r="K155" i="8" s="1"/>
  <c r="N287" i="8"/>
  <c r="AV52" i="8"/>
  <c r="L52" i="8" s="1"/>
  <c r="N135" i="8"/>
  <c r="AU18" i="8"/>
  <c r="K18" i="8" s="1"/>
  <c r="AX50" i="8"/>
  <c r="N50" i="8" s="1"/>
  <c r="AV241" i="8"/>
  <c r="L241" i="8" s="1"/>
  <c r="AT368" i="8"/>
  <c r="J368" i="8" s="1"/>
  <c r="AV171" i="8"/>
  <c r="L171" i="8" s="1"/>
  <c r="L349" i="8"/>
  <c r="K348" i="8"/>
  <c r="L60" i="8"/>
  <c r="AW145" i="8"/>
  <c r="M145" i="8" s="1"/>
  <c r="L3" i="8"/>
  <c r="K318" i="8"/>
  <c r="AU63" i="8"/>
  <c r="K63" i="8" s="1"/>
  <c r="AP287" i="8"/>
  <c r="F287" i="8" s="1"/>
  <c r="L233" i="8"/>
  <c r="AW47" i="8"/>
  <c r="M47" i="8" s="1"/>
  <c r="AU295" i="8"/>
  <c r="K295" i="8" s="1"/>
  <c r="AX108" i="8"/>
  <c r="N108" i="8" s="1"/>
  <c r="AW135" i="8"/>
  <c r="M135" i="8" s="1"/>
  <c r="N47" i="8"/>
  <c r="AV243" i="8"/>
  <c r="L243" i="8" s="1"/>
  <c r="M64" i="8"/>
  <c r="AY52" i="8"/>
  <c r="O52" i="8" s="1"/>
  <c r="L371" i="8"/>
  <c r="AU22" i="8"/>
  <c r="K22" i="8" s="1"/>
  <c r="AY86" i="8"/>
  <c r="O86" i="8" s="1"/>
  <c r="F144" i="8"/>
  <c r="Q170" i="8"/>
  <c r="AU21" i="8"/>
  <c r="K21" i="8" s="1"/>
  <c r="AW374" i="8"/>
  <c r="M374" i="8" s="1"/>
  <c r="AW171" i="8"/>
  <c r="M171" i="8" s="1"/>
  <c r="AW157" i="8"/>
  <c r="M157" i="8" s="1"/>
  <c r="AV76" i="8"/>
  <c r="L76" i="8" s="1"/>
  <c r="AS374" i="8"/>
  <c r="I374" i="8" s="1"/>
  <c r="AV188" i="8"/>
  <c r="L188" i="8" s="1"/>
  <c r="AW260" i="8"/>
  <c r="M260" i="8" s="1"/>
  <c r="AX369" i="8"/>
  <c r="N369" i="8" s="1"/>
  <c r="AY201" i="8"/>
  <c r="O201" i="8" s="1"/>
  <c r="N157" i="8"/>
  <c r="F301" i="8"/>
  <c r="AW80" i="8"/>
  <c r="M80" i="8" s="1"/>
  <c r="F159" i="8"/>
  <c r="AU97" i="8"/>
  <c r="K97" i="8" s="1"/>
  <c r="AW184" i="8"/>
  <c r="M184" i="8" s="1"/>
  <c r="K111" i="8"/>
  <c r="N56" i="8"/>
  <c r="AQ169" i="8"/>
  <c r="G169" i="8" s="1"/>
  <c r="AY168" i="8"/>
  <c r="O168" i="8" s="1"/>
  <c r="AW27" i="8"/>
  <c r="M27" i="8" s="1"/>
  <c r="AU297" i="8"/>
  <c r="K297" i="8" s="1"/>
  <c r="K369" i="8"/>
  <c r="AY123" i="8"/>
  <c r="O123" i="8" s="1"/>
  <c r="V216" i="8"/>
  <c r="AS197" i="5"/>
  <c r="AK30" i="2"/>
  <c r="G204" i="8"/>
  <c r="AT374" i="8"/>
  <c r="J374" i="8" s="1"/>
  <c r="AY122" i="8"/>
  <c r="O122" i="8" s="1"/>
  <c r="AV348" i="8"/>
  <c r="L348" i="8" s="1"/>
  <c r="K31" i="8"/>
  <c r="AY22" i="8"/>
  <c r="O22" i="8" s="1"/>
  <c r="AP223" i="8"/>
  <c r="F223" i="8" s="1"/>
  <c r="AU5" i="8"/>
  <c r="K5" i="8" s="1"/>
  <c r="F191" i="8"/>
  <c r="AY372" i="8"/>
  <c r="O372" i="8" s="1"/>
  <c r="AY103" i="8"/>
  <c r="O103" i="8" s="1"/>
  <c r="BA174" i="8"/>
  <c r="Q174" i="8" s="1"/>
  <c r="AU255" i="8"/>
  <c r="K255" i="8" s="1"/>
  <c r="M16" i="8"/>
  <c r="BA396" i="8"/>
  <c r="Q396" i="8" s="1"/>
  <c r="B396" i="8" s="1"/>
  <c r="AT357" i="8"/>
  <c r="J357" i="8" s="1"/>
  <c r="F114" i="8"/>
  <c r="AY95" i="8"/>
  <c r="O95" i="8" s="1"/>
  <c r="I341" i="8"/>
  <c r="AV308" i="8"/>
  <c r="L308" i="8" s="1"/>
  <c r="AU79" i="8"/>
  <c r="K79" i="8" s="1"/>
  <c r="AP148" i="8"/>
  <c r="F148" i="8" s="1"/>
  <c r="AZ370" i="8"/>
  <c r="P370" i="8" s="1"/>
  <c r="AP192" i="8"/>
  <c r="F192" i="8" s="1"/>
  <c r="BA397" i="8"/>
  <c r="Q397" i="8" s="1"/>
  <c r="B397" i="8" s="1"/>
  <c r="AS334" i="8"/>
  <c r="I334" i="8" s="1"/>
  <c r="BF96" i="2"/>
  <c r="AW339" i="8"/>
  <c r="M339" i="8" s="1"/>
  <c r="N226" i="8"/>
  <c r="Q367" i="8"/>
  <c r="AU17" i="8"/>
  <c r="K17" i="8" s="1"/>
  <c r="L298" i="8"/>
  <c r="M37" i="8"/>
  <c r="AY234" i="8"/>
  <c r="O234" i="8" s="1"/>
  <c r="AZ33" i="8"/>
  <c r="P33" i="8" s="1"/>
  <c r="L48" i="8"/>
  <c r="BA243" i="8"/>
  <c r="Q243" i="8" s="1"/>
  <c r="AX293" i="8"/>
  <c r="N293" i="8" s="1"/>
  <c r="F276" i="8"/>
  <c r="Q60" i="8"/>
  <c r="AU194" i="8"/>
  <c r="K194" i="8" s="1"/>
  <c r="AV4" i="8"/>
  <c r="L4" i="8" s="1"/>
  <c r="AP294" i="8"/>
  <c r="F294" i="8" s="1"/>
  <c r="AY93" i="8"/>
  <c r="O93" i="8" s="1"/>
  <c r="Q129" i="8"/>
  <c r="AX274" i="8"/>
  <c r="N274" i="8" s="1"/>
  <c r="Q194" i="8"/>
  <c r="K217" i="8"/>
  <c r="AY278" i="8"/>
  <c r="O278" i="8" s="1"/>
  <c r="N40" i="8"/>
  <c r="Q320" i="8"/>
  <c r="AY193" i="8"/>
  <c r="O193" i="8" s="1"/>
  <c r="AY378" i="8"/>
  <c r="O378" i="8" s="1"/>
  <c r="N140" i="8"/>
  <c r="F147" i="8"/>
  <c r="F22" i="8"/>
  <c r="J367" i="8"/>
  <c r="AP41" i="8"/>
  <c r="F41" i="8" s="1"/>
  <c r="AW281" i="8"/>
  <c r="M281" i="8" s="1"/>
  <c r="AY24" i="8"/>
  <c r="O24" i="8" s="1"/>
  <c r="AV342" i="8"/>
  <c r="L342" i="8" s="1"/>
  <c r="B342" i="8" s="1"/>
  <c r="AP161" i="8"/>
  <c r="F161" i="8" s="1"/>
  <c r="BA255" i="8"/>
  <c r="Q255" i="8" s="1"/>
  <c r="BA335" i="8"/>
  <c r="Q335" i="8" s="1"/>
  <c r="J379" i="8"/>
  <c r="AY257" i="8"/>
  <c r="O257" i="8" s="1"/>
  <c r="L296" i="8"/>
  <c r="AY84" i="8"/>
  <c r="O84" i="8" s="1"/>
  <c r="B84" i="8" s="1"/>
  <c r="AW25" i="8"/>
  <c r="M25" i="8" s="1"/>
  <c r="AP123" i="8"/>
  <c r="F123" i="8" s="1"/>
  <c r="I41" i="8"/>
  <c r="Q312" i="8"/>
  <c r="F137" i="8"/>
  <c r="AU282" i="8"/>
  <c r="K282" i="8" s="1"/>
  <c r="AU314" i="8"/>
  <c r="K314" i="8" s="1"/>
  <c r="BA391" i="8"/>
  <c r="Q391" i="8" s="1"/>
  <c r="B391" i="8" s="1"/>
  <c r="Q259" i="8"/>
  <c r="F113" i="8"/>
  <c r="AP28" i="8"/>
  <c r="F28" i="8" s="1"/>
  <c r="N301" i="8"/>
  <c r="O355" i="8"/>
  <c r="BA173" i="8"/>
  <c r="Q173" i="8" s="1"/>
  <c r="F12" i="8"/>
  <c r="AW234" i="8"/>
  <c r="M234" i="8" s="1"/>
  <c r="AW179" i="8"/>
  <c r="M179" i="8" s="1"/>
  <c r="Q247" i="8"/>
  <c r="N173" i="8"/>
  <c r="AW230" i="8"/>
  <c r="M230" i="8" s="1"/>
  <c r="L186" i="8"/>
  <c r="G155" i="8"/>
  <c r="AW38" i="8"/>
  <c r="M38" i="8" s="1"/>
  <c r="N268" i="8"/>
  <c r="AP87" i="8"/>
  <c r="F87" i="8" s="1"/>
  <c r="L43" i="8"/>
  <c r="BA368" i="8"/>
  <c r="Q368" i="8" s="1"/>
  <c r="BA321" i="8"/>
  <c r="Q321" i="8" s="1"/>
  <c r="B321" i="8" s="1"/>
  <c r="AW267" i="8"/>
  <c r="M267" i="8" s="1"/>
  <c r="AW347" i="8"/>
  <c r="M347" i="8" s="1"/>
  <c r="L354" i="8"/>
  <c r="BA395" i="8"/>
  <c r="Q395" i="8" s="1"/>
  <c r="B395" i="8" s="1"/>
  <c r="AU327" i="8"/>
  <c r="K327" i="8" s="1"/>
  <c r="AU296" i="8"/>
  <c r="K296" i="8" s="1"/>
  <c r="AV32" i="8"/>
  <c r="L32" i="8" s="1"/>
  <c r="AW159" i="8"/>
  <c r="M159" i="8" s="1"/>
  <c r="AY237" i="8"/>
  <c r="O237" i="8" s="1"/>
  <c r="L54" i="8"/>
  <c r="AW244" i="8"/>
  <c r="M244" i="8" s="1"/>
  <c r="AW265" i="8"/>
  <c r="M265" i="8" s="1"/>
  <c r="AW107" i="8"/>
  <c r="M107" i="8" s="1"/>
  <c r="AP225" i="8"/>
  <c r="F225" i="8" s="1"/>
  <c r="AW323" i="8"/>
  <c r="M323" i="8" s="1"/>
  <c r="AY156" i="8"/>
  <c r="O156" i="8" s="1"/>
  <c r="F224" i="8"/>
  <c r="K372" i="8"/>
  <c r="L264" i="8"/>
  <c r="P109" i="8"/>
  <c r="AU293" i="8"/>
  <c r="K293" i="8" s="1"/>
  <c r="AV117" i="8"/>
  <c r="L117" i="8" s="1"/>
  <c r="Q190" i="8"/>
  <c r="P374" i="8"/>
  <c r="BA216" i="8"/>
  <c r="Q216" i="8" s="1"/>
  <c r="K329" i="8"/>
  <c r="AY81" i="8"/>
  <c r="O81" i="8" s="1"/>
  <c r="P247" i="8"/>
  <c r="AY11" i="8"/>
  <c r="O11" i="8" s="1"/>
  <c r="AW57" i="8"/>
  <c r="M57" i="8" s="1"/>
  <c r="L66" i="8"/>
  <c r="P351" i="8"/>
  <c r="AY34" i="8"/>
  <c r="O34" i="8" s="1"/>
  <c r="BA386" i="8"/>
  <c r="Q386" i="8" s="1"/>
  <c r="B386" i="8" s="1"/>
  <c r="AU45" i="8"/>
  <c r="K45" i="8" s="1"/>
  <c r="AU68" i="8"/>
  <c r="K68" i="8" s="1"/>
  <c r="V220" i="8"/>
  <c r="AK31" i="2"/>
  <c r="AS202" i="5"/>
  <c r="O366" i="8"/>
  <c r="L345" i="8"/>
  <c r="I366" i="8"/>
  <c r="F93" i="8"/>
  <c r="AW133" i="8"/>
  <c r="M133" i="8" s="1"/>
  <c r="L152" i="8"/>
  <c r="L199" i="8"/>
  <c r="L30" i="8"/>
  <c r="AY41" i="8"/>
  <c r="O41" i="8" s="1"/>
  <c r="AU278" i="8"/>
  <c r="K278" i="8" s="1"/>
  <c r="AU353" i="8"/>
  <c r="K353" i="8" s="1"/>
  <c r="AW368" i="8"/>
  <c r="M368" i="8" s="1"/>
  <c r="AW22" i="8"/>
  <c r="M22" i="8" s="1"/>
  <c r="AY134" i="8"/>
  <c r="O134" i="8" s="1"/>
  <c r="K276" i="8"/>
  <c r="AW17" i="8"/>
  <c r="M17" i="8" s="1"/>
  <c r="AU196" i="8"/>
  <c r="K196" i="8" s="1"/>
  <c r="AW285" i="8"/>
  <c r="M285" i="8" s="1"/>
  <c r="J378" i="8"/>
  <c r="AU116" i="8"/>
  <c r="K116" i="8" s="1"/>
  <c r="Q378" i="8"/>
  <c r="AY191" i="8"/>
  <c r="O191" i="8" s="1"/>
  <c r="AY75" i="8"/>
  <c r="O75" i="8" s="1"/>
  <c r="B75" i="8" s="1"/>
  <c r="F195" i="8"/>
  <c r="BA406" i="8"/>
  <c r="Q406" i="8" s="1"/>
  <c r="B406" i="8" s="1"/>
  <c r="L328" i="8"/>
  <c r="AW151" i="8"/>
  <c r="M151" i="8" s="1"/>
  <c r="AX213" i="8"/>
  <c r="N213" i="8" s="1"/>
  <c r="N217" i="8"/>
  <c r="AP96" i="8"/>
  <c r="F96" i="8" s="1"/>
  <c r="AW291" i="8"/>
  <c r="M291" i="8" s="1"/>
  <c r="N279" i="8"/>
  <c r="L310" i="8"/>
  <c r="P283" i="8"/>
  <c r="K59" i="8"/>
  <c r="L51" i="8"/>
  <c r="K347" i="8"/>
  <c r="AW71" i="8"/>
  <c r="M71" i="8" s="1"/>
  <c r="L303" i="8"/>
  <c r="AX289" i="8"/>
  <c r="N289" i="8" s="1"/>
  <c r="P199" i="8"/>
  <c r="K102" i="8"/>
  <c r="N215" i="8"/>
  <c r="AW231" i="8"/>
  <c r="M231" i="8" s="1"/>
  <c r="AY294" i="8"/>
  <c r="O294" i="8" s="1"/>
  <c r="AX138" i="8"/>
  <c r="N138" i="8" s="1"/>
  <c r="K310" i="8"/>
  <c r="AU301" i="8"/>
  <c r="K301" i="8" s="1"/>
  <c r="AP128" i="8"/>
  <c r="F128" i="8" s="1"/>
  <c r="B128" i="8" s="1"/>
  <c r="AS317" i="8"/>
  <c r="I317" i="8" s="1"/>
  <c r="AU239" i="8"/>
  <c r="K239" i="8" s="1"/>
  <c r="L111" i="8"/>
  <c r="BA400" i="8"/>
  <c r="Q400" i="8" s="1"/>
  <c r="B400" i="8" s="1"/>
  <c r="L306" i="8"/>
  <c r="AY132" i="8"/>
  <c r="O132" i="8" s="1"/>
  <c r="N166" i="8"/>
  <c r="L197" i="8"/>
  <c r="L23" i="8"/>
  <c r="K227" i="8"/>
  <c r="N200" i="8"/>
  <c r="P366" i="8"/>
  <c r="BA253" i="8"/>
  <c r="Q253" i="8" s="1"/>
  <c r="F158" i="8"/>
  <c r="AV64" i="8"/>
  <c r="L64" i="8" s="1"/>
  <c r="AW366" i="8"/>
  <c r="M366" i="8" s="1"/>
  <c r="P8" i="8"/>
  <c r="AV209" i="8"/>
  <c r="L209" i="8" s="1"/>
  <c r="L174" i="8"/>
  <c r="AY363" i="8"/>
  <c r="O363" i="8" s="1"/>
  <c r="BA3" i="8"/>
  <c r="Q3" i="8" s="1"/>
  <c r="AU165" i="8"/>
  <c r="K165" i="8" s="1"/>
  <c r="N372" i="8"/>
  <c r="AY373" i="8"/>
  <c r="O373" i="8" s="1"/>
  <c r="AT222" i="8"/>
  <c r="J222" i="8" s="1"/>
  <c r="B222" i="8" s="1"/>
  <c r="AU15" i="8"/>
  <c r="K15" i="8" s="1"/>
  <c r="N137" i="8"/>
  <c r="AW129" i="8"/>
  <c r="M129" i="8" s="1"/>
  <c r="F135" i="8"/>
  <c r="AX97" i="8"/>
  <c r="N97" i="8" s="1"/>
  <c r="AU281" i="8"/>
  <c r="K281" i="8" s="1"/>
  <c r="M162" i="8"/>
  <c r="AW369" i="8"/>
  <c r="M369" i="8" s="1"/>
  <c r="AU48" i="8"/>
  <c r="K48" i="8" s="1"/>
  <c r="AY287" i="8"/>
  <c r="O287" i="8" s="1"/>
  <c r="AV333" i="8"/>
  <c r="L333" i="8" s="1"/>
  <c r="N114" i="8"/>
  <c r="BA23" i="8"/>
  <c r="Q23" i="8" s="1"/>
  <c r="K355" i="8"/>
  <c r="AX239" i="8"/>
  <c r="N239" i="8" s="1"/>
  <c r="AU266" i="8"/>
  <c r="K266" i="8" s="1"/>
  <c r="BA340" i="8"/>
  <c r="Q340" i="8" s="1"/>
  <c r="AQ107" i="8"/>
  <c r="G107" i="8" s="1"/>
  <c r="AX190" i="8"/>
  <c r="N190" i="8" s="1"/>
  <c r="AV305" i="8"/>
  <c r="L305" i="8" s="1"/>
  <c r="B305" i="8" s="1"/>
  <c r="AQ9" i="8"/>
  <c r="G9" i="8" s="1"/>
  <c r="Q377" i="8"/>
  <c r="AU319" i="8"/>
  <c r="K319" i="8" s="1"/>
  <c r="AU80" i="8"/>
  <c r="K80" i="8" s="1"/>
  <c r="AV67" i="8"/>
  <c r="L67" i="8" s="1"/>
  <c r="AU312" i="8"/>
  <c r="K312" i="8" s="1"/>
  <c r="AY374" i="8"/>
  <c r="O374" i="8" s="1"/>
  <c r="Q308" i="8"/>
  <c r="AX206" i="8"/>
  <c r="N206" i="8" s="1"/>
  <c r="AU137" i="8"/>
  <c r="K137" i="8" s="1"/>
  <c r="BA74" i="8"/>
  <c r="Q74" i="8" s="1"/>
  <c r="AP97" i="8"/>
  <c r="F97" i="8" s="1"/>
  <c r="BA5" i="8"/>
  <c r="Q5" i="8" s="1"/>
  <c r="Q86" i="8"/>
  <c r="AY99" i="8"/>
  <c r="O99" i="8" s="1"/>
  <c r="AW5" i="8"/>
  <c r="M5" i="8" s="1"/>
  <c r="AP70" i="8"/>
  <c r="F70" i="8" s="1"/>
  <c r="L375" i="8"/>
  <c r="AW138" i="8"/>
  <c r="M138" i="8" s="1"/>
  <c r="AW28" i="8"/>
  <c r="M28" i="8" s="1"/>
  <c r="BA351" i="8"/>
  <c r="Q351" i="8" s="1"/>
  <c r="AY45" i="8"/>
  <c r="O45" i="8" s="1"/>
  <c r="J352" i="8"/>
  <c r="AV231" i="8"/>
  <c r="L231" i="8" s="1"/>
  <c r="AW336" i="8"/>
  <c r="M336" i="8" s="1"/>
  <c r="N9" i="8"/>
  <c r="AU269" i="8"/>
  <c r="K269" i="8" s="1"/>
  <c r="AW269" i="8"/>
  <c r="M269" i="8" s="1"/>
  <c r="O369" i="8"/>
  <c r="AP181" i="8"/>
  <c r="F181" i="8" s="1"/>
  <c r="BA136" i="8"/>
  <c r="Q136" i="8" s="1"/>
  <c r="Q113" i="8"/>
  <c r="AX13" i="8"/>
  <c r="N13" i="8" s="1"/>
  <c r="AS345" i="8"/>
  <c r="I345" i="8" s="1"/>
  <c r="AU354" i="8"/>
  <c r="K354" i="8" s="1"/>
  <c r="AU267" i="8"/>
  <c r="K267" i="8" s="1"/>
  <c r="N58" i="8"/>
  <c r="BA78" i="8"/>
  <c r="Q78" i="8" s="1"/>
  <c r="AX76" i="8"/>
  <c r="N76" i="8" s="1"/>
  <c r="AT358" i="8"/>
  <c r="J358" i="8" s="1"/>
  <c r="AU64" i="8"/>
  <c r="K64" i="8" s="1"/>
  <c r="BA171" i="8"/>
  <c r="Q171" i="8" s="1"/>
  <c r="AV325" i="8"/>
  <c r="L325" i="8" s="1"/>
  <c r="F242" i="8"/>
  <c r="M196" i="8"/>
  <c r="AY67" i="8"/>
  <c r="O67" i="8" s="1"/>
  <c r="AP64" i="8"/>
  <c r="F64" i="8" s="1"/>
  <c r="AY112" i="8"/>
  <c r="O112" i="8" s="1"/>
  <c r="F230" i="8"/>
  <c r="K149" i="8"/>
  <c r="BA334" i="8"/>
  <c r="Q334" i="8" s="1"/>
  <c r="AP111" i="8"/>
  <c r="F111" i="8" s="1"/>
  <c r="BA267" i="8"/>
  <c r="Q267" i="8" s="1"/>
  <c r="N22" i="8"/>
  <c r="P357" i="8"/>
  <c r="AY154" i="8"/>
  <c r="O154" i="8" s="1"/>
  <c r="K324" i="8"/>
  <c r="AY163" i="8"/>
  <c r="O163" i="8" s="1"/>
  <c r="AU109" i="8"/>
  <c r="K109" i="8" s="1"/>
  <c r="AW248" i="8"/>
  <c r="M248" i="8" s="1"/>
  <c r="AU306" i="8"/>
  <c r="K306" i="8" s="1"/>
  <c r="AP50" i="8"/>
  <c r="F50" i="8" s="1"/>
  <c r="AX242" i="8"/>
  <c r="N242" i="8" s="1"/>
  <c r="P375" i="8"/>
  <c r="AU178" i="8"/>
  <c r="K178" i="8" s="1"/>
  <c r="AW373" i="8"/>
  <c r="M373" i="8" s="1"/>
  <c r="Q201" i="8"/>
  <c r="Y158" i="8"/>
  <c r="AV133" i="5"/>
  <c r="L31" i="8"/>
  <c r="B31" i="8" s="1"/>
  <c r="AY246" i="8"/>
  <c r="O246" i="8" s="1"/>
  <c r="N353" i="8"/>
  <c r="AP10" i="8"/>
  <c r="F10" i="8" s="1"/>
  <c r="AW112" i="8"/>
  <c r="M112" i="8" s="1"/>
  <c r="BA179" i="8"/>
  <c r="Q179" i="8" s="1"/>
  <c r="Q379" i="8"/>
  <c r="I56" i="8"/>
  <c r="AU249" i="8"/>
  <c r="K249" i="8" s="1"/>
  <c r="AV104" i="8"/>
  <c r="L104" i="8" s="1"/>
  <c r="AV282" i="8"/>
  <c r="L282" i="8" s="1"/>
  <c r="AW297" i="8"/>
  <c r="M297" i="8" s="1"/>
  <c r="AW50" i="8"/>
  <c r="M50" i="8" s="1"/>
  <c r="K28" i="8"/>
  <c r="J351" i="8"/>
  <c r="AU215" i="8"/>
  <c r="K215" i="8" s="1"/>
  <c r="AX35" i="8"/>
  <c r="N35" i="8" s="1"/>
  <c r="P377" i="8"/>
  <c r="AY358" i="8"/>
  <c r="O358" i="8" s="1"/>
  <c r="K374" i="8"/>
  <c r="M207" i="8"/>
  <c r="AU362" i="8"/>
  <c r="K362" i="8" s="1"/>
  <c r="AV299" i="8"/>
  <c r="L299" i="8" s="1"/>
  <c r="AV18" i="8"/>
  <c r="L18" i="8" s="1"/>
  <c r="BA13" i="8"/>
  <c r="Q13" i="8" s="1"/>
  <c r="AZ233" i="8"/>
  <c r="P233" i="8" s="1"/>
  <c r="L318" i="8"/>
  <c r="AS220" i="8"/>
  <c r="I220" i="8" s="1"/>
  <c r="AP46" i="8"/>
  <c r="F46" i="8" s="1"/>
  <c r="AS264" i="8"/>
  <c r="I264" i="8" s="1"/>
  <c r="AV362" i="8"/>
  <c r="L362" i="8" s="1"/>
  <c r="AU256" i="8"/>
  <c r="K256" i="8" s="1"/>
  <c r="AY161" i="8"/>
  <c r="O161" i="8" s="1"/>
  <c r="AW300" i="8"/>
  <c r="M300" i="8" s="1"/>
  <c r="K365" i="8"/>
  <c r="BA318" i="8"/>
  <c r="Q318" i="8" s="1"/>
  <c r="AY277" i="8"/>
  <c r="O277" i="8" s="1"/>
  <c r="Q35" i="8"/>
  <c r="AX59" i="8"/>
  <c r="N59" i="8" s="1"/>
  <c r="AX374" i="8"/>
  <c r="N374" i="8" s="1"/>
  <c r="AY181" i="8"/>
  <c r="O181" i="8" s="1"/>
  <c r="AW73" i="8"/>
  <c r="M73" i="8" s="1"/>
  <c r="AX53" i="8"/>
  <c r="N53" i="8" s="1"/>
  <c r="AY375" i="8"/>
  <c r="O375" i="8" s="1"/>
  <c r="AV226" i="8"/>
  <c r="L226" i="8" s="1"/>
  <c r="L101" i="8"/>
  <c r="Q191" i="8"/>
  <c r="BA375" i="8"/>
  <c r="Q375" i="8" s="1"/>
  <c r="M48" i="8"/>
  <c r="AP52" i="8"/>
  <c r="F52" i="8" s="1"/>
  <c r="N209" i="8"/>
  <c r="AU100" i="8"/>
  <c r="K100" i="8" s="1"/>
  <c r="AW206" i="8"/>
  <c r="M206" i="8" s="1"/>
  <c r="AU364" i="8"/>
  <c r="K364" i="8" s="1"/>
  <c r="AP60" i="8"/>
  <c r="F60" i="8" s="1"/>
  <c r="AW348" i="8"/>
  <c r="M348" i="8" s="1"/>
  <c r="AV63" i="8"/>
  <c r="L63" i="8" s="1"/>
  <c r="L132" i="8"/>
  <c r="AY269" i="8"/>
  <c r="O269" i="8" s="1"/>
  <c r="Q353" i="8"/>
  <c r="B325" i="8" l="1"/>
  <c r="B333" i="8"/>
  <c r="B306" i="8"/>
  <c r="B149" i="8"/>
  <c r="B346" i="8"/>
  <c r="B336" i="8"/>
  <c r="B206" i="8"/>
  <c r="B25" i="8"/>
  <c r="B337" i="8"/>
  <c r="B106" i="8"/>
  <c r="B335" i="8"/>
  <c r="B116" i="8"/>
  <c r="B285" i="8"/>
  <c r="B307" i="8"/>
  <c r="B48" i="8"/>
  <c r="B96" i="8"/>
  <c r="B144" i="8"/>
  <c r="B205" i="8"/>
  <c r="B316" i="8"/>
  <c r="B118" i="8"/>
  <c r="B146" i="8"/>
  <c r="B160" i="8"/>
  <c r="B117" i="8"/>
  <c r="B197" i="8"/>
  <c r="B212" i="8"/>
  <c r="B365" i="8"/>
  <c r="B291" i="8"/>
  <c r="B275" i="8"/>
  <c r="B362" i="8"/>
  <c r="B341" i="8"/>
  <c r="B50" i="8"/>
  <c r="B148" i="8"/>
  <c r="B108" i="8"/>
  <c r="B68" i="8"/>
  <c r="B203" i="8"/>
  <c r="B367" i="8"/>
  <c r="B124" i="8"/>
  <c r="B194" i="8"/>
  <c r="B295" i="8"/>
  <c r="B319" i="8"/>
  <c r="B284" i="8"/>
  <c r="B289" i="8"/>
  <c r="B357" i="8"/>
  <c r="B167" i="8"/>
  <c r="B322" i="8"/>
  <c r="B250" i="8"/>
  <c r="B62" i="8"/>
  <c r="B40" i="8"/>
  <c r="B49" i="8"/>
  <c r="B239" i="8"/>
  <c r="B207" i="8"/>
  <c r="B244" i="8"/>
  <c r="B265" i="8"/>
  <c r="B4" i="8"/>
  <c r="B251" i="8"/>
  <c r="B2" i="8"/>
  <c r="B28" i="8"/>
  <c r="B298" i="8"/>
  <c r="B290" i="8"/>
  <c r="B369" i="8"/>
  <c r="B115" i="8"/>
  <c r="B199" i="8"/>
  <c r="B66" i="8"/>
  <c r="B371" i="8"/>
  <c r="B261" i="8"/>
  <c r="B376" i="8"/>
  <c r="B130" i="8"/>
  <c r="B219" i="8"/>
  <c r="B175" i="8"/>
  <c r="B355" i="8"/>
  <c r="B236" i="8"/>
  <c r="B271" i="8"/>
  <c r="B348" i="8"/>
  <c r="B320" i="8"/>
  <c r="B202" i="8"/>
  <c r="B27" i="8"/>
  <c r="B133" i="8"/>
  <c r="B345" i="8"/>
  <c r="B237" i="8"/>
  <c r="B373" i="8"/>
  <c r="B17" i="8"/>
  <c r="B19" i="8"/>
  <c r="B292" i="8"/>
  <c r="B280" i="8"/>
  <c r="B324" i="8"/>
  <c r="B8" i="8"/>
  <c r="B248" i="8"/>
  <c r="B189" i="8"/>
  <c r="B356" i="8"/>
  <c r="B344" i="8"/>
  <c r="B57" i="8"/>
  <c r="B354" i="8"/>
  <c r="B343" i="8"/>
  <c r="B351" i="8"/>
  <c r="B310" i="8"/>
  <c r="B170" i="8"/>
  <c r="B315" i="8"/>
  <c r="BA158" i="8"/>
  <c r="Q158" i="8" s="1"/>
  <c r="B24" i="8"/>
  <c r="B44" i="8"/>
  <c r="B349" i="8"/>
  <c r="B221" i="8"/>
  <c r="B121" i="8"/>
  <c r="B46" i="8"/>
  <c r="B303" i="8"/>
  <c r="B70" i="8"/>
  <c r="B287" i="8"/>
  <c r="B165" i="8"/>
  <c r="B359" i="8"/>
  <c r="B43" i="8"/>
  <c r="B140" i="8"/>
  <c r="B122" i="8"/>
  <c r="B257" i="8"/>
  <c r="B129" i="8"/>
  <c r="B317" i="8"/>
  <c r="B329" i="8"/>
  <c r="B135" i="8"/>
  <c r="B378" i="8"/>
  <c r="B93" i="8"/>
  <c r="B69" i="8"/>
  <c r="B32" i="8"/>
  <c r="B379" i="8"/>
  <c r="B20" i="8"/>
  <c r="B208" i="8"/>
  <c r="B353" i="8"/>
  <c r="B361" i="8"/>
  <c r="B228" i="8"/>
  <c r="B157" i="8"/>
  <c r="B245" i="8"/>
  <c r="B200" i="8"/>
  <c r="B10" i="8"/>
  <c r="B308" i="8"/>
  <c r="B153" i="8"/>
  <c r="B141" i="8"/>
  <c r="B30" i="8"/>
  <c r="B60" i="8"/>
  <c r="B209" i="8"/>
  <c r="B83" i="8"/>
  <c r="B283" i="8"/>
  <c r="B223" i="8"/>
  <c r="B79" i="8"/>
  <c r="B105" i="8"/>
  <c r="B366" i="8"/>
  <c r="B377" i="8"/>
  <c r="B273" i="8"/>
  <c r="B151" i="8"/>
  <c r="B260" i="8"/>
  <c r="B152" i="8"/>
  <c r="B52" i="8"/>
  <c r="B225" i="8"/>
  <c r="B73" i="8"/>
  <c r="B111" i="8"/>
  <c r="B181" i="8"/>
  <c r="B161" i="8"/>
  <c r="B45" i="8"/>
  <c r="B296" i="8"/>
  <c r="B339" i="8"/>
  <c r="B107" i="8"/>
  <c r="B352" i="8"/>
  <c r="B235" i="8"/>
  <c r="B164" i="8"/>
  <c r="B211" i="8"/>
  <c r="B143" i="8"/>
  <c r="B323" i="8"/>
  <c r="B3" i="8"/>
  <c r="B74" i="8"/>
  <c r="B229" i="8"/>
  <c r="B288" i="8"/>
  <c r="B33" i="8"/>
  <c r="B286" i="8"/>
  <c r="B35" i="8"/>
  <c r="B81" i="8"/>
  <c r="B277" i="8"/>
  <c r="B193" i="8"/>
  <c r="B318" i="8"/>
  <c r="B97" i="8"/>
  <c r="B67" i="8"/>
  <c r="B294" i="8"/>
  <c r="B247" i="8"/>
  <c r="B198" i="8"/>
  <c r="B168" i="8"/>
  <c r="B109" i="8"/>
  <c r="B358" i="8"/>
  <c r="B64" i="8"/>
  <c r="B41" i="8"/>
  <c r="B171" i="8"/>
  <c r="B334" i="8"/>
  <c r="B350" i="8"/>
  <c r="B166" i="8"/>
  <c r="B233" i="8"/>
  <c r="B231" i="8"/>
  <c r="B311" i="8"/>
  <c r="B256" i="8"/>
  <c r="B363" i="8"/>
  <c r="B332" i="8"/>
  <c r="B374" i="8"/>
  <c r="B76" i="8"/>
  <c r="B370" i="8"/>
  <c r="B34" i="8"/>
  <c r="B368" i="8"/>
  <c r="B278" i="8"/>
  <c r="B297" i="8"/>
  <c r="B139" i="8"/>
  <c r="B375" i="8"/>
  <c r="B314" i="8"/>
  <c r="B372" i="8"/>
  <c r="B360" i="8"/>
  <c r="B188" i="8"/>
  <c r="B364" i="8"/>
  <c r="B313" i="8"/>
  <c r="B29" i="8"/>
  <c r="B47" i="8"/>
  <c r="B13" i="8"/>
  <c r="B136" i="8"/>
  <c r="B134" i="8"/>
  <c r="B218" i="8"/>
  <c r="B330" i="8"/>
  <c r="B15" i="8"/>
  <c r="B253" i="8"/>
  <c r="B12" i="8"/>
  <c r="B226" i="8"/>
  <c r="B300" i="8"/>
  <c r="B59" i="8"/>
  <c r="B154" i="8"/>
  <c r="B174" i="8"/>
  <c r="B104" i="8"/>
  <c r="B217" i="8"/>
  <c r="B78" i="8"/>
  <c r="B102" i="8"/>
  <c r="AT220" i="8"/>
  <c r="J220" i="8" s="1"/>
  <c r="B220" i="8" s="1"/>
  <c r="B224" i="8"/>
  <c r="B114" i="8"/>
  <c r="B252" i="8"/>
  <c r="B264" i="8"/>
  <c r="B255" i="8"/>
  <c r="B42" i="8"/>
  <c r="B176" i="8"/>
  <c r="B14" i="8"/>
  <c r="AU158" i="8"/>
  <c r="K158" i="8" s="1"/>
  <c r="B279" i="8"/>
  <c r="B268" i="8"/>
  <c r="B186" i="8"/>
  <c r="B246" i="8"/>
  <c r="B242" i="8"/>
  <c r="B145" i="8"/>
  <c r="B195" i="8"/>
  <c r="B137" i="8"/>
  <c r="B22" i="8"/>
  <c r="B191" i="8"/>
  <c r="B234" i="8"/>
  <c r="AW158" i="8"/>
  <c r="M158" i="8" s="1"/>
  <c r="B266" i="8"/>
  <c r="B187" i="8"/>
  <c r="B183" i="8"/>
  <c r="B302" i="8"/>
  <c r="B63" i="8"/>
  <c r="B159" i="8"/>
  <c r="B293" i="8"/>
  <c r="B94" i="8"/>
  <c r="B204" i="8"/>
  <c r="B267" i="8"/>
  <c r="B213" i="8"/>
  <c r="B39" i="8"/>
  <c r="B82" i="8"/>
  <c r="AT87" i="8"/>
  <c r="J87" i="8" s="1"/>
  <c r="B87" i="8" s="1"/>
  <c r="AX196" i="8"/>
  <c r="N196" i="8" s="1"/>
  <c r="B196" i="8" s="1"/>
  <c r="B270" i="8"/>
  <c r="B58" i="8"/>
  <c r="B92" i="8"/>
  <c r="B156" i="8"/>
  <c r="B192" i="8"/>
  <c r="B26" i="8"/>
  <c r="B227" i="8"/>
  <c r="B110" i="8"/>
  <c r="B169" i="8"/>
  <c r="AT56" i="8"/>
  <c r="J56" i="8" s="1"/>
  <c r="B56" i="8" s="1"/>
  <c r="B65" i="8"/>
  <c r="B241" i="8"/>
  <c r="B173" i="8"/>
  <c r="B142" i="8"/>
  <c r="B340" i="8"/>
  <c r="B7" i="8"/>
  <c r="AV90" i="8"/>
  <c r="L90" i="8" s="1"/>
  <c r="B90" i="8" s="1"/>
  <c r="B249" i="8"/>
  <c r="B147" i="8"/>
  <c r="AT216" i="8"/>
  <c r="J216" i="8" s="1"/>
  <c r="B216" i="8" s="1"/>
  <c r="B127" i="8"/>
  <c r="B80" i="8"/>
  <c r="AT21" i="8"/>
  <c r="J21" i="8" s="1"/>
  <c r="B21" i="8" s="1"/>
  <c r="B299" i="8"/>
  <c r="B214" i="8"/>
  <c r="B274" i="8"/>
  <c r="B243" i="8"/>
  <c r="P158" i="8"/>
  <c r="AY158" i="8"/>
  <c r="O158" i="8" s="1"/>
  <c r="B258" i="8"/>
  <c r="B91" i="8"/>
  <c r="B262" i="8"/>
  <c r="B150" i="8"/>
  <c r="B179" i="8"/>
  <c r="B215" i="8"/>
  <c r="B53" i="8"/>
  <c r="B113" i="8"/>
  <c r="B276" i="8"/>
  <c r="B138" i="8"/>
  <c r="B254" i="8"/>
  <c r="B72" i="8"/>
  <c r="B163" i="8"/>
  <c r="B177" i="8"/>
  <c r="B123" i="8"/>
  <c r="B71" i="8"/>
  <c r="B162" i="8"/>
  <c r="B77" i="8"/>
  <c r="B18" i="8"/>
  <c r="B269" i="8"/>
  <c r="B282" i="8"/>
  <c r="AS158" i="8"/>
  <c r="I158" i="8" s="1"/>
  <c r="B240" i="8"/>
  <c r="B301" i="8"/>
  <c r="B312" i="8"/>
  <c r="B119" i="8"/>
  <c r="B112" i="8"/>
  <c r="B100" i="8"/>
  <c r="B95" i="8"/>
  <c r="B54" i="8"/>
  <c r="B61" i="8"/>
  <c r="B155" i="8"/>
  <c r="B180" i="8"/>
  <c r="B178" i="8"/>
  <c r="B86" i="8"/>
  <c r="B99" i="8"/>
  <c r="B103" i="8"/>
  <c r="B125" i="8"/>
  <c r="B230" i="8"/>
  <c r="B6" i="8"/>
  <c r="B190" i="8"/>
  <c r="B328" i="8"/>
  <c r="B259" i="8"/>
  <c r="B55" i="8"/>
  <c r="B201" i="8"/>
  <c r="B9" i="8"/>
  <c r="B182" i="8"/>
  <c r="B5" i="8"/>
  <c r="B185" i="8"/>
  <c r="B281" i="8"/>
  <c r="B11" i="8"/>
  <c r="B51" i="8"/>
  <c r="B23" i="8"/>
  <c r="B16" i="8"/>
  <c r="B132" i="8"/>
  <c r="B101" i="8"/>
  <c r="B158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xr16:uid="{00000000-0015-0000-FFFF-FFFF01000000}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xr16:uid="{00000000-0015-0000-FFFF-FFFF02000000}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xr16:uid="{00000000-0015-0000-FFFF-FFFF03000000}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xr16:uid="{00000000-0015-0000-FFFF-FFFF04000000}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xr16:uid="{00000000-0015-0000-FFFF-FFFF05000000}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xr16:uid="{00000000-0015-0000-FFFF-FFFF06000000}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xr16:uid="{00000000-0015-0000-FFFF-FFFF07000000}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xr16:uid="{00000000-0015-0000-FFFF-FFFF08000000}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0" xr16:uid="{00000000-0015-0000-FFFF-FFFF09000000}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xr16:uid="{00000000-0015-0000-FFFF-FFFF0A000000}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<sst xmlns="http://schemas.openxmlformats.org/spreadsheetml/2006/main" count="17024" uniqueCount="1677">
  <si>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</si>
  <si>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</si>
  <si>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</si>
  <si>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</si>
  <si>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</si>
  <si>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</si>
  <si>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</si>
  <si>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</si>
  <si>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</si>
  <si>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</si>
  <si>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</si>
  <si>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</si>
  <si>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</si>
  <si>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</si>
  <si>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</si>
  <si>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</si>
  <si>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</si>
  <si>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</si>
  <si>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</si>
  <si>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</si>
  <si>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</si>
  <si>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</si>
  <si>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</si>
  <si>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</si>
  <si>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</si>
  <si>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</si>
  <si>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</si>
  <si>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</si>
  <si>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</si>
  <si>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</si>
  <si>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</si>
  <si>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</si>
  <si>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</si>
  <si>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</si>
  <si>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</si>
  <si>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</si>
  <si>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</si>
  <si>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</si>
  <si>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</si>
  <si>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</si>
  <si>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</si>
  <si>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</si>
  <si>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</si>
  <si>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</si>
  <si>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</si>
  <si>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</si>
  <si>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</si>
  <si>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</si>
  <si>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</si>
  <si>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</si>
  <si>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</si>
  <si>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</si>
  <si>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</si>
  <si>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</si>
  <si>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</si>
  <si>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</si>
  <si>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</si>
  <si>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</si>
  <si>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</si>
  <si>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</si>
  <si>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</si>
  <si>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</si>
  <si>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</si>
  <si>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</si>
  <si>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</si>
  <si>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</si>
  <si>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</si>
  <si>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</si>
  <si>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</si>
  <si>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</si>
  <si>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</si>
  <si>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</si>
  <si>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</si>
  <si>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</si>
  <si>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</si>
  <si>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</si>
  <si>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</si>
  <si>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</si>
  <si>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</si>
  <si>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</si>
  <si>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</si>
  <si>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</si>
  <si>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</si>
  <si>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</si>
  <si>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</si>
  <si>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</si>
  <si>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</si>
  <si>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</si>
  <si>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</si>
  <si>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</si>
  <si>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</si>
  <si>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</si>
  <si>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</si>
  <si>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</si>
  <si>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</si>
  <si>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</si>
  <si>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</si>
  <si>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</si>
  <si>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</si>
  <si>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</si>
  <si>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</si>
  <si>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</si>
  <si>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</si>
  <si>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</si>
  <si>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</si>
  <si>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</si>
  <si>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</si>
  <si>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</si>
  <si>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</si>
  <si>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</si>
  <si>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</si>
  <si>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</si>
  <si>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</si>
  <si>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</si>
  <si>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</si>
  <si>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</si>
  <si>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</si>
  <si>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</si>
  <si>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</si>
  <si>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</si>
  <si>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</si>
  <si>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</si>
  <si>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</si>
  <si>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</si>
  <si>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</si>
  <si>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</si>
  <si>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</si>
  <si>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</si>
  <si>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</si>
  <si>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</si>
  <si>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</si>
  <si>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</si>
  <si>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</si>
  <si>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</si>
  <si>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</si>
  <si>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</si>
  <si>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</si>
  <si>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</si>
  <si>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</si>
  <si>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</si>
  <si>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</si>
  <si>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</si>
  <si>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</si>
  <si>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</si>
  <si>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</si>
  <si>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</si>
  <si>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</si>
  <si>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</si>
  <si>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</si>
  <si>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</si>
  <si>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</si>
  <si>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</si>
  <si>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</si>
  <si>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</si>
  <si>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</si>
  <si>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</si>
  <si>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</si>
  <si>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</si>
  <si>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</si>
  <si>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</si>
  <si>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</si>
  <si>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</si>
  <si>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</si>
  <si>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</si>
  <si>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</si>
  <si>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</si>
  <si>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</si>
  <si>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</si>
  <si>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</si>
  <si>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</si>
  <si>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</si>
  <si>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</si>
  <si>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</si>
  <si>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</si>
  <si>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</si>
  <si>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</si>
  <si>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</si>
  <si>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</si>
  <si>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</si>
  <si>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</si>
  <si>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</si>
  <si>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</si>
  <si>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</si>
  <si>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</si>
  <si>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</si>
  <si>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</si>
  <si>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</si>
  <si>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</si>
  <si>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</si>
  <si>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</si>
  <si>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</si>
  <si>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</si>
  <si>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</si>
  <si>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</si>
  <si>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</si>
  <si>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</si>
  <si>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</si>
  <si>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</si>
  <si>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</si>
  <si>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</si>
  <si>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</si>
  <si>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</si>
  <si>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</si>
  <si>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</si>
  <si>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</si>
  <si>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</si>
  <si>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</si>
  <si>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</si>
  <si>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</si>
  <si>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</si>
  <si>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</si>
  <si>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</si>
  <si>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</si>
  <si>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</si>
  <si>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</si>
  <si>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</si>
  <si>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</si>
  <si>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</si>
  <si>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</si>
  <si>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</si>
  <si>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</si>
  <si>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</si>
  <si>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</si>
  <si>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</si>
  <si>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</si>
  <si>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</si>
  <si>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</si>
  <si>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</si>
  <si>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</si>
  <si>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</si>
  <si>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</si>
  <si>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</si>
  <si>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</si>
  <si>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</si>
  <si>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</si>
  <si>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</si>
  <si>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</si>
  <si>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</si>
  <si>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</si>
  <si>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</si>
  <si>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</si>
  <si>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</si>
  <si>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</si>
  <si>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</si>
  <si>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</si>
  <si>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</si>
  <si>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</si>
  <si>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</si>
  <si>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</si>
  <si>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</si>
  <si>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</si>
  <si>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</si>
  <si>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</si>
  <si>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</si>
  <si>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</si>
  <si>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</si>
  <si>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</si>
  <si>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</si>
  <si>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</si>
  <si>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</si>
  <si>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</si>
  <si>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</si>
  <si>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</si>
  <si>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</si>
  <si>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</si>
  <si>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</si>
  <si>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</si>
  <si>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</si>
  <si>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</si>
  <si>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</si>
  <si>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</si>
  <si>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</si>
  <si>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</si>
  <si>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</si>
  <si>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</si>
  <si>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</si>
  <si>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</si>
  <si>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</si>
  <si>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</si>
  <si>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</si>
  <si>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</si>
  <si>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</si>
  <si>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</si>
  <si>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</si>
  <si>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</si>
  <si>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</si>
  <si>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</si>
  <si>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</si>
  <si>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</si>
  <si>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</si>
  <si>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</si>
  <si>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</si>
  <si>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</si>
  <si>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</si>
  <si>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</si>
  <si>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</si>
  <si>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</si>
  <si>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</si>
  <si>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</si>
  <si>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</si>
  <si>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</si>
  <si>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</si>
  <si>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</si>
  <si>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</si>
  <si>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</si>
  <si>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</si>
  <si>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</si>
  <si>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</si>
  <si>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</si>
  <si>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</si>
  <si>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</si>
  <si>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</si>
  <si>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</si>
  <si>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</si>
  <si>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</si>
  <si>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</si>
  <si>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</si>
  <si>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</si>
  <si>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</si>
  <si>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</si>
  <si>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</si>
  <si>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</si>
  <si>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</si>
  <si>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</si>
  <si>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</si>
  <si>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</si>
  <si>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</si>
  <si>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</si>
  <si>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</si>
  <si>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</si>
  <si>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</si>
  <si>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</si>
  <si>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</si>
  <si>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</si>
  <si>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</si>
  <si>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</si>
  <si>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</si>
  <si>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</si>
  <si>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</si>
  <si>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</si>
  <si>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</si>
  <si>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</si>
  <si>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</si>
  <si>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</si>
  <si>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</si>
  <si>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</si>
  <si>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</si>
  <si>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</si>
  <si>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</si>
  <si>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</si>
  <si>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</si>
  <si>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</si>
  <si>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</si>
  <si>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</si>
  <si>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</si>
  <si>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</si>
  <si>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</si>
  <si>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</si>
  <si>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</si>
  <si>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</si>
  <si>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</si>
  <si>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</si>
  <si>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</si>
  <si>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</si>
  <si>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</si>
  <si>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</si>
  <si>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</si>
  <si>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</si>
  <si>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</si>
  <si>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</si>
  <si>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</si>
  <si>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</si>
  <si>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</si>
  <si>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</si>
  <si>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</si>
  <si>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</si>
  <si>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</si>
  <si>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</si>
  <si>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</si>
  <si>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</si>
  <si>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</si>
  <si>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</si>
  <si>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</si>
  <si>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</si>
  <si>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</si>
  <si>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</si>
  <si>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</si>
  <si>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</si>
  <si>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</si>
  <si>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</si>
  <si>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</si>
  <si>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</si>
  <si>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</si>
  <si>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</si>
  <si>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</si>
  <si>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</si>
  <si>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</si>
  <si>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</si>
  <si>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</si>
  <si>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</si>
  <si>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</si>
  <si>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</si>
  <si>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</si>
  <si>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</si>
  <si>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</si>
  <si>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</si>
  <si>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</si>
  <si>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</si>
  <si>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</si>
  <si>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</si>
  <si>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</si>
  <si>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</si>
  <si>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</si>
  <si>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</si>
  <si>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</si>
  <si>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</si>
  <si>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</si>
  <si>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</si>
  <si>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</si>
  <si>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</si>
  <si>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</si>
  <si>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</si>
  <si>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</si>
  <si>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</si>
  <si>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</si>
  <si>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</si>
  <si>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</si>
  <si>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</si>
  <si>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</si>
  <si>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</si>
  <si>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</si>
  <si>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</si>
  <si>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</si>
  <si>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</si>
  <si>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</si>
  <si>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</si>
  <si>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</si>
  <si>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</si>
  <si>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</si>
  <si>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</si>
  <si>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</si>
  <si>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</si>
  <si>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</si>
  <si>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</si>
  <si>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</si>
  <si>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</si>
  <si>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</si>
  <si>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</si>
  <si>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</si>
  <si>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</si>
  <si>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</si>
  <si>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</si>
  <si>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</si>
  <si>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</si>
  <si>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</si>
  <si>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</si>
  <si>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</si>
  <si>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</si>
  <si>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</si>
  <si>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</si>
  <si>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</si>
  <si>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</si>
  <si>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</si>
  <si>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</si>
  <si>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</si>
  <si>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</si>
  <si>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</si>
  <si>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</si>
  <si>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</si>
  <si>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</si>
  <si>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</si>
  <si>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</si>
  <si>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</si>
  <si>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</si>
  <si>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</si>
  <si>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</si>
  <si>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</si>
  <si>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</si>
  <si>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</si>
  <si>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</si>
  <si>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</si>
  <si>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</si>
  <si>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</si>
  <si>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</si>
  <si>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</si>
  <si>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</si>
  <si>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</si>
  <si>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</si>
  <si>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</si>
  <si>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</si>
  <si>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</si>
  <si>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</si>
  <si>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</si>
  <si>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</si>
  <si>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</si>
  <si>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</si>
  <si>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</si>
  <si>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</si>
  <si>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</si>
  <si>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</si>
  <si>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</si>
  <si>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</si>
  <si>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</si>
  <si>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</si>
  <si>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</si>
  <si>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</si>
  <si>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</si>
  <si>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</si>
  <si>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</si>
  <si>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</si>
  <si>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</si>
  <si>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</si>
  <si>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</si>
  <si>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</si>
  <si>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</si>
  <si>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</si>
  <si>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</si>
  <si>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</si>
  <si>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</si>
  <si>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</si>
  <si>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</si>
  <si>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</si>
  <si>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</si>
  <si>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</si>
  <si>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</si>
  <si>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</si>
  <si>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</si>
  <si>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</si>
  <si>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</si>
  <si>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</si>
  <si>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</si>
  <si>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</si>
  <si>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</si>
  <si>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</si>
  <si>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</si>
  <si>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</si>
  <si>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</si>
  <si>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</si>
  <si>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</si>
  <si>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</si>
  <si>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</si>
  <si>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</si>
  <si>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</si>
  <si>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</si>
  <si>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</si>
  <si>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</si>
  <si>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</si>
  <si>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</si>
  <si>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</si>
  <si>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</si>
  <si>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</si>
  <si>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</si>
  <si>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</si>
  <si>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</si>
  <si>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</si>
  <si>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</si>
  <si>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</si>
  <si>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</si>
  <si>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</si>
  <si>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</si>
  <si>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</si>
  <si>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</si>
  <si>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</si>
  <si>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</si>
  <si>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</si>
  <si>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</si>
  <si>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</si>
  <si>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</si>
  <si>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</si>
  <si>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</si>
  <si>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</si>
  <si>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</si>
  <si>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</si>
  <si>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</si>
  <si>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</si>
  <si>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</si>
  <si>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</si>
  <si>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</si>
  <si>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</si>
  <si>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</si>
  <si>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</si>
  <si>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</si>
  <si>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</si>
  <si>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</si>
  <si>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</si>
  <si>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</si>
  <si>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</si>
  <si>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</si>
  <si>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</si>
  <si>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</si>
  <si>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</si>
  <si>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</si>
  <si>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</si>
  <si>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</si>
  <si>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</si>
  <si>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</si>
  <si>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</si>
  <si>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</si>
  <si>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</si>
  <si>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</si>
  <si>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</si>
  <si>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</si>
  <si>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</si>
  <si>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</si>
  <si>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</si>
  <si>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</si>
  <si>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</si>
  <si>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</si>
  <si>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</si>
  <si>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</si>
  <si>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</si>
  <si>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</si>
  <si>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</si>
  <si>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</si>
  <si>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</si>
  <si>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</si>
  <si>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</si>
  <si>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</si>
  <si>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</si>
  <si>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</si>
  <si>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</si>
  <si>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</si>
  <si>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</si>
  <si>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</si>
  <si>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</si>
  <si>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</si>
  <si>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</si>
  <si>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</si>
  <si>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</si>
  <si>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</si>
  <si>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</si>
  <si>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</si>
  <si>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</si>
  <si>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</si>
  <si>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</si>
  <si>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</si>
  <si>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</si>
  <si>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</si>
  <si>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</si>
  <si>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</si>
  <si>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</si>
  <si>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</si>
  <si>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</si>
  <si>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</si>
  <si>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</si>
  <si>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</si>
  <si>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</si>
  <si>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</si>
  <si>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</si>
  <si>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</si>
  <si>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</si>
  <si>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</si>
  <si>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</si>
  <si>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</si>
  <si>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</si>
  <si>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</si>
  <si>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</si>
  <si>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</si>
  <si>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</si>
  <si>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</si>
  <si>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</si>
  <si>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</si>
  <si>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</si>
  <si>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</si>
  <si>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</si>
  <si>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</si>
  <si>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</si>
  <si>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</si>
  <si>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</si>
  <si>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</si>
  <si>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</si>
  <si>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</si>
  <si>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</si>
  <si>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</si>
  <si>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</si>
  <si>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</si>
  <si>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</si>
  <si>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</si>
  <si>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</si>
  <si>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</si>
  <si>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</si>
  <si>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</si>
  <si>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</si>
  <si>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</si>
  <si>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</si>
  <si>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</si>
  <si>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</si>
  <si>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</si>
  <si>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</si>
  <si>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</si>
  <si>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</si>
  <si>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</si>
  <si>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</si>
  <si>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</si>
  <si>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</si>
  <si>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</si>
  <si>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</si>
  <si>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</si>
  <si>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</si>
  <si>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</si>
  <si>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</si>
  <si>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</si>
  <si>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</si>
  <si>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</si>
  <si>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</si>
  <si>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</si>
  <si>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</si>
  <si>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</si>
  <si>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</si>
  <si>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</si>
  <si>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</si>
  <si>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</si>
  <si>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</si>
  <si>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</si>
  <si>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</si>
  <si>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</si>
  <si>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</si>
  <si>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</si>
  <si>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</si>
  <si>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</si>
  <si>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</si>
  <si>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</si>
  <si>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</si>
  <si>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</si>
  <si>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</si>
  <si>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</si>
  <si>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</si>
  <si>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</si>
  <si>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</si>
  <si>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</si>
  <si>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</si>
  <si>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</si>
  <si>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</si>
  <si>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</si>
  <si>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</si>
  <si>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</si>
  <si>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</si>
  <si>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</si>
  <si>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</si>
  <si>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</si>
  <si>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</si>
  <si>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</si>
  <si>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</si>
  <si>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</si>
  <si>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</si>
  <si>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</si>
  <si>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</si>
  <si>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</si>
  <si>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</si>
  <si>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</si>
  <si>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</si>
  <si>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</si>
  <si>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</si>
  <si>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</si>
  <si>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</si>
  <si>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</si>
  <si>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</si>
  <si>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</si>
  <si>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</si>
  <si>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</si>
  <si>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</si>
  <si>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</si>
  <si>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</si>
  <si>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</si>
  <si>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</si>
  <si>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</si>
  <si>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</si>
  <si>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</si>
  <si>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</si>
  <si>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</si>
  <si>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</si>
  <si>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</si>
  <si>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</si>
  <si>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</si>
  <si>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</si>
  <si>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</si>
  <si>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</si>
  <si>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</si>
  <si>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</si>
  <si>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</si>
  <si>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</si>
  <si>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</si>
  <si>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</si>
  <si>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</si>
  <si>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</si>
  <si>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</si>
  <si>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</si>
  <si>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</si>
  <si>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</si>
  <si>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</si>
  <si>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</si>
  <si>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</si>
  <si>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</si>
  <si>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</si>
  <si>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</si>
  <si>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</si>
  <si>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</si>
  <si>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</si>
  <si>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</si>
  <si>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</si>
  <si>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</si>
  <si>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</si>
  <si>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</si>
  <si>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</si>
  <si>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</si>
  <si>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</si>
  <si>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</si>
  <si>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</si>
  <si>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</si>
  <si>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</si>
  <si>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</si>
  <si>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</si>
  <si>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</si>
  <si>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</si>
  <si>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</si>
  <si>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</si>
  <si>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</si>
  <si>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</si>
  <si>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</si>
  <si>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</si>
  <si>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</si>
  <si>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</si>
  <si>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</si>
  <si>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</si>
  <si>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</si>
  <si>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</si>
  <si>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</si>
  <si>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</si>
  <si>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</si>
  <si>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</si>
  <si>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</si>
  <si>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</si>
  <si>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</si>
  <si>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</si>
  <si>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</si>
  <si>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</si>
  <si>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</si>
  <si>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</si>
  <si>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</si>
  <si>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</si>
  <si>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</si>
  <si>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</si>
  <si>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</si>
  <si>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</si>
  <si>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</si>
  <si>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</si>
  <si>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</si>
  <si>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</si>
  <si>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</si>
  <si>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</si>
  <si>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</si>
  <si>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</si>
  <si>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</si>
  <si>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</si>
  <si>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</si>
  <si>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</si>
  <si>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</si>
  <si>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</si>
  <si>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</si>
  <si>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</si>
  <si>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</si>
  <si>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</si>
  <si>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</si>
  <si>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</si>
  <si>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</si>
  <si>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</si>
  <si>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</si>
  <si>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</si>
  <si>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</si>
  <si>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</si>
  <si>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</si>
  <si>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</si>
  <si>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</si>
  <si>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</si>
  <si>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</si>
  <si>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</si>
  <si>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</si>
  <si>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</si>
  <si>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</si>
  <si>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</si>
  <si>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</si>
  <si>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</si>
  <si>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</si>
  <si>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</si>
  <si>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</si>
  <si>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</si>
  <si>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</si>
  <si>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</si>
  <si>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</si>
  <si>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</si>
  <si>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</si>
  <si>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</si>
  <si>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</si>
  <si>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</si>
  <si>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</si>
  <si>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</si>
  <si>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</si>
  <si>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</si>
  <si>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</si>
  <si>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</si>
  <si>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</si>
  <si>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</si>
  <si>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</si>
  <si>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</si>
  <si>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</si>
  <si>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</si>
  <si>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</si>
  <si>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</si>
  <si>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</si>
  <si>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</si>
  <si>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</si>
  <si>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</si>
  <si>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</si>
  <si>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</si>
  <si>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</si>
  <si>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</si>
  <si>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</si>
  <si>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</si>
  <si>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</si>
  <si>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</si>
  <si>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</si>
  <si>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</si>
  <si>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</si>
  <si>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</si>
  <si>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</si>
  <si>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</si>
  <si>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</si>
  <si>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</si>
  <si>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</si>
  <si>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</si>
  <si>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</si>
  <si>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</si>
  <si>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</si>
  <si>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</si>
  <si>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</si>
  <si>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</si>
  <si>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</si>
  <si>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</si>
  <si>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</si>
  <si>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</si>
  <si>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</si>
  <si>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</si>
  <si>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</si>
  <si>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</si>
  <si>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</si>
  <si>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</si>
  <si>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</si>
  <si>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</si>
  <si>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</si>
  <si>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</si>
  <si>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</si>
  <si>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</si>
  <si>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</si>
  <si>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</si>
  <si>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</si>
  <si>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</si>
  <si>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</si>
  <si>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</si>
  <si>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</si>
  <si>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</si>
  <si>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</si>
  <si>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</si>
  <si>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</si>
  <si>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</si>
  <si>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</si>
  <si>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</si>
  <si>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</si>
  <si>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</si>
  <si>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</si>
  <si>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</si>
  <si>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</si>
  <si>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</si>
  <si>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</si>
  <si>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</si>
  <si>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</si>
  <si>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</si>
  <si>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</si>
  <si>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</si>
  <si>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</si>
  <si>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</si>
  <si>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</si>
  <si>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</si>
  <si>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</si>
  <si>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</si>
  <si>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</si>
  <si>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</si>
  <si>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</si>
  <si>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</si>
  <si>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</si>
  <si>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</si>
  <si>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</si>
  <si>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</si>
  <si>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</si>
  <si>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</si>
  <si>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</si>
  <si>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</si>
  <si>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</si>
  <si>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</si>
  <si>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</si>
  <si>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</si>
  <si>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</si>
  <si>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</si>
  <si>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</si>
  <si>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</si>
  <si>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</si>
  <si>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</si>
  <si>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</si>
  <si>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</si>
  <si>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</si>
  <si>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</si>
  <si>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</si>
  <si>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</si>
  <si>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</si>
  <si>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</si>
  <si>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</si>
  <si>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</si>
  <si>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</si>
  <si>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</si>
  <si>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</si>
  <si>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</si>
  <si>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</si>
  <si>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</si>
  <si>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</si>
  <si>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</si>
  <si>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</si>
  <si>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</si>
  <si>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</si>
  <si>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</si>
  <si>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</si>
  <si>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</si>
  <si>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</si>
  <si>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</si>
  <si>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</si>
  <si>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</si>
  <si>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</si>
  <si>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</si>
  <si>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</si>
  <si>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</si>
  <si>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</si>
  <si>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</si>
  <si>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</si>
  <si>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</si>
  <si>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</si>
  <si>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</si>
  <si>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</si>
  <si>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</si>
  <si>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</si>
  <si>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</si>
  <si>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</si>
  <si>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</si>
  <si>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</si>
  <si>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</si>
  <si>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</si>
  <si>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</si>
  <si>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</si>
  <si>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</si>
  <si>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</si>
  <si>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</si>
  <si>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</si>
  <si>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</si>
  <si>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</si>
  <si>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</si>
  <si>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</si>
  <si>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</si>
  <si>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</si>
  <si>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</si>
  <si>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</si>
  <si>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</si>
  <si>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</si>
  <si>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</si>
  <si>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</si>
  <si>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</si>
  <si>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</si>
  <si>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</si>
  <si>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</si>
  <si>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</si>
  <si>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</si>
  <si>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</si>
  <si>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</si>
  <si>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</si>
  <si>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</si>
  <si>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</si>
  <si>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</si>
  <si>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</si>
  <si>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</si>
  <si>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</si>
  <si>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</si>
  <si>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</si>
  <si>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</si>
  <si>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</si>
  <si>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</si>
  <si>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</si>
  <si>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</si>
  <si>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</si>
  <si>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</si>
  <si>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</si>
  <si>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</si>
  <si>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</si>
  <si>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</si>
  <si>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</si>
  <si>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</si>
  <si>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</si>
  <si>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</si>
  <si>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</si>
  <si>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</si>
  <si>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</si>
  <si>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</si>
  <si>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</si>
  <si>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</si>
  <si>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</si>
  <si>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</si>
  <si>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</si>
  <si>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</si>
  <si>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</si>
  <si>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</si>
  <si>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</si>
  <si>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</si>
  <si>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</si>
  <si>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</si>
  <si>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</si>
  <si>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</si>
  <si>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</si>
  <si>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</si>
  <si>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</si>
  <si>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</si>
  <si>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</si>
  <si>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</si>
  <si>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</si>
  <si>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</si>
  <si>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</si>
  <si>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</si>
  <si>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</si>
  <si>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</si>
  <si>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</si>
  <si>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</si>
  <si>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</si>
  <si>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</si>
  <si>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</si>
  <si>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</si>
  <si>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</si>
  <si>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</si>
  <si>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</si>
  <si>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</si>
  <si>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</si>
  <si>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</si>
  <si>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</si>
  <si>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</si>
  <si>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</si>
  <si>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</si>
  <si>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</si>
  <si>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</si>
  <si>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</si>
  <si>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</si>
  <si>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</si>
  <si>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</si>
  <si>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</si>
  <si>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</si>
  <si>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</si>
  <si>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</si>
  <si>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</si>
  <si>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</si>
  <si>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</si>
  <si>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</si>
  <si>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</si>
  <si>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</si>
  <si>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</si>
  <si>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</si>
  <si>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</si>
  <si>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</si>
  <si>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</si>
  <si>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</si>
  <si>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</si>
  <si>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</si>
  <si>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</si>
  <si>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</si>
  <si>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</si>
  <si>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</si>
  <si>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</si>
  <si>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</si>
  <si>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</si>
  <si>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</si>
  <si>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</si>
  <si>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</si>
  <si>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</si>
  <si>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</si>
  <si>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</si>
  <si>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</si>
  <si>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</si>
  <si>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</si>
  <si>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</si>
  <si>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</si>
  <si>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</si>
  <si>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</si>
  <si>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</si>
  <si>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</si>
  <si>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</si>
  <si>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</si>
  <si>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</si>
  <si>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</si>
  <si>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</si>
  <si>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</si>
  <si>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</si>
  <si>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</si>
  <si>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</si>
  <si>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</si>
  <si>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</si>
  <si>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</si>
  <si>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</si>
  <si>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</si>
  <si>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</si>
  <si>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</si>
  <si>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</si>
  <si>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</si>
  <si>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</si>
  <si>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</si>
  <si>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</si>
  <si>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</si>
  <si>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</si>
  <si>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</si>
  <si>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</si>
  <si>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</si>
  <si>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</si>
  <si>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</si>
  <si>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</si>
  <si>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</si>
  <si>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</si>
  <si>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</si>
  <si>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</si>
  <si>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</si>
  <si>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</si>
  <si>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</si>
  <si>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</si>
  <si>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</si>
  <si>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</si>
  <si>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</si>
  <si>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</si>
  <si>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</si>
  <si>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</si>
  <si>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</si>
  <si>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</si>
  <si>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</si>
  <si>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</si>
  <si>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</si>
  <si>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</si>
  <si>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</si>
  <si>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</si>
  <si>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</si>
  <si>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</si>
  <si>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</si>
  <si>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</si>
  <si>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</si>
  <si>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</si>
  <si>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</si>
  <si>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</si>
  <si>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</si>
  <si>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</si>
  <si>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</si>
  <si>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</si>
  <si>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</si>
  <si>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</si>
  <si>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</si>
  <si>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</si>
  <si>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</si>
  <si>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</si>
  <si>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</si>
  <si>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</si>
  <si>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</si>
  <si>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</si>
  <si>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</si>
  <si>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</si>
  <si>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</si>
  <si>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</si>
  <si>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</si>
  <si>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</si>
  <si>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</si>
  <si>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</si>
  <si>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</si>
  <si>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</si>
  <si>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</si>
  <si>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</si>
  <si>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</si>
  <si>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</si>
  <si>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</si>
  <si>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</si>
  <si>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</si>
  <si>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</si>
  <si>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</si>
  <si>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</si>
  <si>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</si>
  <si>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</si>
  <si>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</si>
  <si>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</si>
  <si>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</si>
  <si>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</si>
  <si>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</si>
  <si>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</si>
  <si>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</si>
  <si>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</si>
  <si>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</si>
  <si>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</si>
  <si>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</si>
  <si>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</si>
  <si>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</si>
  <si>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</si>
  <si>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</si>
  <si>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</si>
  <si>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</si>
  <si>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</si>
  <si>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</si>
  <si>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</si>
  <si>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</si>
  <si>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</si>
  <si>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</si>
  <si>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</si>
  <si>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</si>
  <si>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</si>
  <si>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</si>
  <si>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</si>
  <si>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</si>
  <si>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</si>
  <si>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</si>
  <si>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</si>
  <si>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</si>
  <si>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</si>
  <si>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</si>
  <si>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</si>
  <si>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</si>
  <si>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</si>
  <si>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</si>
  <si>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</si>
  <si>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</si>
  <si>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</si>
  <si>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</si>
  <si>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</si>
  <si>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</si>
  <si>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</si>
  <si>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</si>
  <si>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</si>
  <si>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</si>
  <si>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</si>
  <si>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</si>
  <si>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</si>
  <si>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</si>
  <si>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</si>
  <si>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</si>
  <si>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</si>
  <si>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</si>
  <si>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</si>
  <si>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</si>
  <si>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</si>
  <si>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</si>
  <si>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</si>
  <si>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</si>
  <si>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</si>
  <si>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</si>
  <si>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</si>
  <si>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</si>
  <si>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</si>
  <si>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</si>
  <si>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</si>
  <si>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</si>
  <si>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</si>
  <si>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</si>
  <si>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</si>
  <si>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</si>
  <si>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</si>
  <si>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</si>
  <si>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</si>
  <si>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</si>
  <si>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</si>
  <si>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</si>
  <si>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</si>
  <si>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</si>
  <si>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</si>
  <si>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</si>
  <si>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</si>
  <si>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</si>
  <si>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</si>
  <si>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</si>
  <si>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</si>
  <si>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</si>
  <si>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</si>
  <si>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</si>
  <si>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</si>
  <si>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</si>
  <si>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</si>
  <si>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</si>
  <si>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</si>
  <si>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</si>
  <si>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</si>
  <si>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</si>
  <si>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</si>
  <si>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</si>
  <si>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</si>
  <si>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</si>
  <si>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</si>
  <si>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</si>
  <si>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</si>
  <si>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</si>
  <si>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</si>
  <si>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</si>
  <si>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</si>
  <si>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</si>
  <si>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</si>
  <si>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</si>
  <si>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</si>
  <si>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</si>
  <si>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</si>
  <si>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</si>
  <si>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</si>
  <si>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</si>
  <si>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</si>
  <si>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</si>
  <si>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</si>
  <si>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</si>
  <si>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</si>
  <si>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</si>
  <si>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</si>
  <si>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</si>
  <si>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</si>
  <si>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</si>
  <si>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</si>
  <si>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</si>
  <si>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</si>
  <si>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</si>
  <si>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</si>
  <si>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</si>
  <si>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</si>
  <si>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</si>
  <si>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</si>
  <si>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</si>
  <si>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</si>
  <si>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</si>
  <si>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</si>
  <si>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</si>
  <si>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</si>
  <si>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</si>
  <si>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</si>
  <si>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</si>
  <si>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</si>
  <si>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</si>
  <si>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</si>
  <si>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</si>
  <si>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</si>
  <si>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</si>
  <si>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</si>
  <si>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</si>
  <si>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</si>
  <si>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</si>
  <si>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</si>
  <si>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</si>
  <si>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</si>
  <si>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</si>
  <si>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</si>
  <si>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</si>
  <si>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</si>
  <si>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</si>
  <si>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</si>
  <si>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</si>
  <si>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</si>
  <si>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</si>
  <si>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</si>
  <si>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</si>
  <si>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</si>
  <si>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</si>
  <si>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</si>
  <si>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</si>
  <si>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</si>
  <si>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</si>
  <si>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</si>
  <si>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</si>
  <si>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</si>
  <si>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</si>
  <si>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</si>
  <si>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</si>
  <si>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</si>
  <si>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</si>
  <si>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</si>
  <si>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</si>
  <si>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</si>
  <si>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</si>
  <si>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</si>
  <si>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</si>
  <si>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</si>
  <si>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</si>
  <si>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</si>
  <si>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</si>
  <si>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</si>
  <si>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</si>
  <si>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</si>
  <si>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</si>
  <si>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</si>
  <si>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</si>
  <si>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</si>
  <si>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</si>
  <si>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</si>
  <si>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</si>
  <si>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</si>
  <si>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</si>
  <si>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</si>
  <si>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</si>
  <si>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</si>
  <si>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</si>
  <si>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</si>
  <si>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</si>
  <si>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</si>
  <si>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</si>
  <si>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</si>
  <si>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</si>
  <si>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</si>
  <si>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</si>
  <si>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</si>
  <si>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</si>
  <si>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</si>
  <si>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</si>
  <si>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</si>
  <si>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</si>
  <si>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</si>
  <si>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</si>
  <si>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</si>
  <si>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</si>
  <si>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</si>
  <si>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</si>
  <si>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</si>
  <si>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</si>
  <si>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</si>
  <si>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</si>
  <si>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</si>
  <si>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</si>
  <si>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</si>
  <si>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</si>
  <si>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</si>
  <si>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</si>
  <si>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</si>
  <si>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</si>
  <si>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</si>
  <si>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</si>
  <si>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</si>
  <si>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</si>
  <si>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</si>
  <si>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</si>
  <si>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</si>
  <si>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</si>
  <si>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</si>
  <si>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</si>
  <si>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</si>
  <si>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</si>
  <si>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</si>
  <si>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</si>
  <si>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</si>
  <si>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</si>
  <si>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</si>
  <si>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</si>
  <si>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</si>
  <si>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</si>
  <si>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</si>
  <si>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</si>
  <si>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</si>
  <si>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</si>
  <si>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</si>
  <si>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</si>
  <si>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</si>
  <si>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</si>
  <si>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</si>
  <si>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</si>
  <si>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</si>
  <si>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</si>
  <si>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</si>
  <si>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</si>
  <si>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</si>
  <si>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</si>
  <si>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</si>
  <si>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</si>
  <si>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</si>
  <si>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</si>
  <si>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</si>
  <si>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</si>
  <si>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</si>
  <si>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</si>
  <si>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</si>
  <si>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</si>
  <si>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</si>
  <si>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</si>
  <si>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</si>
  <si>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</si>
  <si>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</si>
  <si>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</si>
  <si>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</si>
  <si>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</si>
  <si>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</si>
  <si>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</si>
  <si>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</si>
  <si>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</si>
  <si>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</si>
  <si>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</si>
  <si>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</si>
  <si>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</si>
  <si>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</si>
  <si>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</si>
  <si>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</si>
  <si>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</si>
  <si>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</si>
  <si>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</si>
  <si>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</si>
  <si>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</si>
  <si>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</si>
  <si>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</si>
  <si>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</si>
  <si>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</si>
  <si>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</si>
  <si>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</si>
  <si>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</si>
  <si>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</si>
  <si>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</si>
  <si>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</si>
  <si>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</si>
  <si>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</si>
  <si>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</si>
  <si>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</si>
  <si>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</si>
  <si>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</si>
  <si>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</si>
  <si>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</si>
  <si>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</si>
  <si>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</si>
  <si>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</si>
  <si>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</si>
  <si>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</si>
  <si>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</si>
  <si>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</si>
  <si>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</si>
  <si>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</si>
  <si>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</si>
  <si>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</si>
  <si>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</si>
  <si>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</si>
  <si>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</si>
  <si>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</si>
  <si>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</si>
  <si>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</si>
  <si>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</si>
  <si>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</si>
  <si>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</si>
  <si>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</si>
  <si>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</si>
  <si>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</si>
  <si>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</si>
  <si>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</si>
  <si>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</si>
  <si>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</si>
  <si>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</si>
  <si>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</si>
  <si>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</si>
  <si>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</si>
  <si>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</si>
  <si>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</si>
  <si>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</si>
  <si>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</si>
  <si>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</si>
  <si>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</si>
  <si>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</si>
  <si>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</si>
  <si>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</si>
  <si>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</si>
  <si>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</si>
  <si>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</si>
  <si>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</si>
  <si>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</si>
  <si>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</si>
  <si>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</si>
  <si>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</si>
  <si>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</si>
  <si>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ste2_yeast</t>
  </si>
  <si>
    <t>agrb1_human</t>
  </si>
  <si>
    <t>agrv1_human</t>
  </si>
  <si>
    <t>agre5_human</t>
  </si>
  <si>
    <t>g37l1_human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</si>
</sst>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16" fillId="0" borderId="0" xfId="0" applyFont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A-A049-876D-3A5BEB911FF2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A-A049-876D-3A5BEB911FF2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68</c:v>
                </c:pt>
                <c:pt idx="5">
                  <c:v>68</c:v>
                </c:pt>
                <c:pt idx="6">
                  <c:v>67</c:v>
                </c:pt>
                <c:pt idx="7">
                  <c:v>67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72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74</c:v>
                </c:pt>
                <c:pt idx="23">
                  <c:v>74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  <c:pt idx="27">
                  <c:v>76</c:v>
                </c:pt>
                <c:pt idx="28">
                  <c:v>76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76</c:v>
                </c:pt>
                <c:pt idx="3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A-A049-876D-3A5BEB911FF2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48</c:v>
                </c:pt>
                <c:pt idx="10">
                  <c:v>48</c:v>
                </c:pt>
                <c:pt idx="11">
                  <c:v>50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52</c:v>
                </c:pt>
                <c:pt idx="18">
                  <c:v>52</c:v>
                </c:pt>
                <c:pt idx="19">
                  <c:v>53</c:v>
                </c:pt>
                <c:pt idx="20">
                  <c:v>56</c:v>
                </c:pt>
                <c:pt idx="21">
                  <c:v>58</c:v>
                </c:pt>
                <c:pt idx="22">
                  <c:v>59</c:v>
                </c:pt>
                <c:pt idx="23">
                  <c:v>59</c:v>
                </c:pt>
                <c:pt idx="24">
                  <c:v>74</c:v>
                </c:pt>
                <c:pt idx="25">
                  <c:v>77</c:v>
                </c:pt>
                <c:pt idx="26">
                  <c:v>109</c:v>
                </c:pt>
                <c:pt idx="27">
                  <c:v>110</c:v>
                </c:pt>
                <c:pt idx="28">
                  <c:v>144</c:v>
                </c:pt>
                <c:pt idx="29">
                  <c:v>180</c:v>
                </c:pt>
                <c:pt idx="30">
                  <c:v>204</c:v>
                </c:pt>
                <c:pt idx="31">
                  <c:v>208</c:v>
                </c:pt>
                <c:pt idx="32">
                  <c:v>228</c:v>
                </c:pt>
                <c:pt idx="33">
                  <c:v>263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</c:v>
                </c:pt>
                <c:pt idx="1">
                  <c:v>31</c:v>
                </c:pt>
                <c:pt idx="2">
                  <c:v>28</c:v>
                </c:pt>
                <c:pt idx="3">
                  <c:v>31</c:v>
                </c:pt>
                <c:pt idx="4">
                  <c:v>29</c:v>
                </c:pt>
                <c:pt idx="5">
                  <c:v>28</c:v>
                </c:pt>
                <c:pt idx="6">
                  <c:v>28</c:v>
                </c:pt>
                <c:pt idx="7">
                  <c:v>26</c:v>
                </c:pt>
                <c:pt idx="8">
                  <c:v>28</c:v>
                </c:pt>
                <c:pt idx="9">
                  <c:v>24</c:v>
                </c:pt>
                <c:pt idx="10">
                  <c:v>28</c:v>
                </c:pt>
                <c:pt idx="11">
                  <c:v>29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22</c:v>
                </c:pt>
                <c:pt idx="21">
                  <c:v>24</c:v>
                </c:pt>
                <c:pt idx="22">
                  <c:v>21</c:v>
                </c:pt>
                <c:pt idx="23">
                  <c:v>28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A-A049-876D-3A5BEB911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891744"/>
        <c:axId val="2062073904"/>
      </c:lineChart>
      <c:catAx>
        <c:axId val="-20758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2073904"/>
        <c:crosses val="autoZero"/>
        <c:auto val="1"/>
        <c:lblAlgn val="ctr"/>
        <c:lblOffset val="100"/>
        <c:noMultiLvlLbl val="0"/>
      </c:catAx>
      <c:valAx>
        <c:axId val="20620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-20758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1062353997516997E-2"/>
          <c:y val="2.724075784409250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4-F440-811C-CD7FC9F0F907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F440-811C-CD7FC9F0F907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</c:v>
                </c:pt>
                <c:pt idx="1">
                  <c:v>71</c:v>
                </c:pt>
                <c:pt idx="2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F440-811C-CD7FC9F0F907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</c:v>
                </c:pt>
                <c:pt idx="1">
                  <c:v>28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F440-811C-CD7FC9F0F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895408"/>
        <c:axId val="2061899104"/>
      </c:lineChart>
      <c:catAx>
        <c:axId val="20618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9104"/>
        <c:crosses val="autoZero"/>
        <c:auto val="1"/>
        <c:lblAlgn val="ctr"/>
        <c:lblOffset val="100"/>
        <c:noMultiLvlLbl val="0"/>
      </c:catAx>
      <c:valAx>
        <c:axId val="2061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0618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>
        <c:manualLayout>
          <c:layoutTarget val="inner"/>
          <c:xMode val="edge"/>
          <c:yMode val="edge"/>
          <c:x val="5.4295072941457599E-2"/>
          <c:y val="1.5495584352692E-2"/>
          <c:w val="0.937382013432145"/>
          <c:h val="0.741397790343666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9-264D-87C9-63459D2FD6F9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9-264D-87C9-63459D2FD6F9}"/>
            </c:ext>
          </c:extLst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9-264D-87C9-63459D2FD6F9}"/>
            </c:ext>
          </c:extLst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C9-264D-87C9-63459D2FD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55968"/>
        <c:axId val="1961858528"/>
      </c:lineChart>
      <c:catAx>
        <c:axId val="1961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8528"/>
        <c:crosses val="autoZero"/>
        <c:auto val="1"/>
        <c:lblAlgn val="ctr"/>
        <c:lblOffset val="100"/>
        <c:noMultiLvlLbl val="0"/>
      </c:catAx>
      <c:valAx>
        <c:axId val="19618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61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PCRdb_alignment" connectionId="1" xr16:uid="{00000000-0016-0000-08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uman_GPCR_fasta.fas" connectionId="2" xr16:uid="{00000000-0016-0000-08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3" connectionId="4" xr16:uid="{00000000-0016-0000-0A00-00000A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6" connectionId="6" xr16:uid="{00000000-0016-0000-0A00-000009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4" connectionId="5" xr16:uid="{00000000-0016-0000-0A00-000008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" connectionId="3" xr16:uid="{00000000-0016-0000-0A00-000007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2" connectionId="10" xr16:uid="{00000000-0016-0000-0A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0" connectionId="9" xr16:uid="{00000000-0016-0000-0A00-000005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13" connectionId="11" xr16:uid="{00000000-0016-0000-0A00-000004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8" connectionId="8" xr16:uid="{00000000-0016-0000-0A00-00000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tal_templates_7" connectionId="7" xr16:uid="{00000000-0016-0000-0A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.xml"/><Relationship Id="rId3" Type="http://schemas.openxmlformats.org/officeDocument/2006/relationships/queryTable" Target="../queryTables/queryTable5.xml"/><Relationship Id="rId7" Type="http://schemas.openxmlformats.org/officeDocument/2006/relationships/queryTable" Target="../queryTables/queryTable9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6" Type="http://schemas.openxmlformats.org/officeDocument/2006/relationships/queryTable" Target="../queryTables/queryTable8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Relationship Id="rId9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MP538"/>
  <sheetViews>
    <sheetView zoomScale="110" zoomScaleNormal="110" zoomScalePageLayoutView="110" workbookViewId="0">
      <pane xSplit="3" ySplit="1" topLeftCell="U64" activePane="bottomRight" state="frozenSplit"/>
      <selection pane="topRight" activeCell="D1" sqref="D1"/>
      <selection pane="bottomLeft" activeCell="A2" sqref="A2"/>
      <selection pane="bottomRight" activeCell="BD88" sqref="BD8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1070</v>
      </c>
      <c r="B1" s="61" t="s">
        <v>31</v>
      </c>
      <c r="C1" s="61" t="s">
        <v>30</v>
      </c>
      <c r="E1" s="61" t="s">
        <v>1054</v>
      </c>
      <c r="G1" s="61" t="s">
        <v>1055</v>
      </c>
      <c r="I1" s="62" t="s">
        <v>1071</v>
      </c>
      <c r="K1" s="62" t="s">
        <v>1072</v>
      </c>
      <c r="M1" s="61" t="s">
        <v>1056</v>
      </c>
      <c r="O1" s="61" t="s">
        <v>1057</v>
      </c>
      <c r="Q1" s="61" t="s">
        <v>1073</v>
      </c>
      <c r="S1" s="61" t="s">
        <v>1074</v>
      </c>
      <c r="U1" s="61" t="s">
        <v>1058</v>
      </c>
      <c r="W1" s="61" t="s">
        <v>1059</v>
      </c>
      <c r="Y1" s="61" t="s">
        <v>1086</v>
      </c>
      <c r="AA1" s="61" t="s">
        <v>1087</v>
      </c>
      <c r="AC1" s="104" t="s">
        <v>1060</v>
      </c>
      <c r="AE1" s="61" t="s">
        <v>1061</v>
      </c>
      <c r="AG1" s="61" t="s">
        <v>1089</v>
      </c>
      <c r="AI1" s="61" t="s">
        <v>1090</v>
      </c>
      <c r="AK1" s="61" t="s">
        <v>1062</v>
      </c>
      <c r="AM1" s="61" t="s">
        <v>1063</v>
      </c>
      <c r="AO1" s="61" t="s">
        <v>1064</v>
      </c>
      <c r="AQ1" s="61" t="s">
        <v>1065</v>
      </c>
      <c r="AS1" s="61" t="s">
        <v>1066</v>
      </c>
      <c r="AU1" s="61" t="s">
        <v>1067</v>
      </c>
      <c r="AW1" s="61" t="s">
        <v>1068</v>
      </c>
      <c r="AY1" s="61" t="s">
        <v>1069</v>
      </c>
      <c r="AZ1" s="63" t="s">
        <v>99</v>
      </c>
      <c r="BA1" s="64" t="s">
        <v>1374</v>
      </c>
      <c r="BB1" s="64" t="s">
        <v>1196</v>
      </c>
      <c r="BC1" s="61" t="s">
        <v>1161</v>
      </c>
      <c r="BD1" s="64" t="s">
        <v>1093</v>
      </c>
      <c r="BE1" s="61" t="s">
        <v>1367</v>
      </c>
      <c r="BF1" s="117" t="s">
        <v>1420</v>
      </c>
      <c r="BG1" s="76" t="s">
        <v>1375</v>
      </c>
      <c r="BH1" s="76" t="s">
        <v>1376</v>
      </c>
      <c r="BI1" s="61" t="s">
        <v>1101</v>
      </c>
      <c r="BJ1" s="65" t="s">
        <v>1054</v>
      </c>
      <c r="BK1" s="66" t="s">
        <v>1071</v>
      </c>
      <c r="BL1" s="67" t="s">
        <v>1056</v>
      </c>
      <c r="BM1" s="67" t="s">
        <v>1073</v>
      </c>
      <c r="BN1" s="67" t="s">
        <v>1058</v>
      </c>
      <c r="BO1" s="67" t="s">
        <v>1086</v>
      </c>
      <c r="BP1" s="67" t="s">
        <v>1060</v>
      </c>
      <c r="BQ1" s="67" t="s">
        <v>1089</v>
      </c>
      <c r="BR1" s="67" t="s">
        <v>1062</v>
      </c>
      <c r="BS1" s="67" t="s">
        <v>1064</v>
      </c>
      <c r="BT1" s="67" t="s">
        <v>1066</v>
      </c>
      <c r="BU1" s="68" t="s">
        <v>1068</v>
      </c>
      <c r="BV1" s="65" t="s">
        <v>1054</v>
      </c>
      <c r="BW1" s="69" t="s">
        <v>1071</v>
      </c>
      <c r="BX1" s="68" t="s">
        <v>1056</v>
      </c>
      <c r="BY1" s="68" t="s">
        <v>1073</v>
      </c>
      <c r="BZ1" s="68" t="s">
        <v>1058</v>
      </c>
      <c r="CA1" s="68" t="s">
        <v>1086</v>
      </c>
      <c r="CB1" s="68" t="s">
        <v>1060</v>
      </c>
      <c r="CC1" s="68" t="s">
        <v>1089</v>
      </c>
      <c r="CD1" s="68" t="s">
        <v>1062</v>
      </c>
      <c r="CE1" s="68" t="s">
        <v>1064</v>
      </c>
      <c r="CF1" s="68" t="s">
        <v>1066</v>
      </c>
      <c r="CG1" s="68" t="s">
        <v>1068</v>
      </c>
      <c r="CH1" s="65" t="s">
        <v>1055</v>
      </c>
      <c r="CI1" s="69" t="s">
        <v>1072</v>
      </c>
      <c r="CJ1" s="68" t="s">
        <v>1057</v>
      </c>
      <c r="CK1" s="68" t="s">
        <v>1074</v>
      </c>
      <c r="CL1" s="68" t="s">
        <v>1059</v>
      </c>
      <c r="CM1" s="68" t="s">
        <v>1087</v>
      </c>
      <c r="CN1" s="68" t="s">
        <v>1061</v>
      </c>
      <c r="CO1" s="68" t="s">
        <v>1090</v>
      </c>
      <c r="CP1" s="68" t="s">
        <v>1063</v>
      </c>
      <c r="CQ1" s="68" t="s">
        <v>1065</v>
      </c>
      <c r="CR1" s="68" t="s">
        <v>1067</v>
      </c>
      <c r="CS1" s="68" t="s">
        <v>1069</v>
      </c>
      <c r="CT1" s="61" t="s">
        <v>1282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1366</v>
      </c>
      <c r="BH2" s="49" t="s">
        <v>1371</v>
      </c>
      <c r="BI2" s="1"/>
      <c r="BJ2" s="70" t="s">
        <v>1281</v>
      </c>
      <c r="BK2" s="57" t="s">
        <v>1281</v>
      </c>
      <c r="BL2" s="57" t="s">
        <v>1281</v>
      </c>
      <c r="BM2" s="57" t="s">
        <v>1281</v>
      </c>
      <c r="BN2" s="57" t="s">
        <v>1281</v>
      </c>
      <c r="BO2" s="57" t="s">
        <v>1281</v>
      </c>
      <c r="BP2" s="57" t="s">
        <v>1281</v>
      </c>
      <c r="BQ2" s="57" t="s">
        <v>1281</v>
      </c>
      <c r="BR2" s="57" t="s">
        <v>1281</v>
      </c>
      <c r="BS2" s="57" t="s">
        <v>1281</v>
      </c>
      <c r="BT2" s="57" t="s">
        <v>1281</v>
      </c>
      <c r="BU2" s="57" t="s">
        <v>1281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1036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1423</v>
      </c>
      <c r="BE3" s="3" t="s">
        <v>1422</v>
      </c>
      <c r="BF3" s="118">
        <v>2.8</v>
      </c>
      <c r="BG3" s="49" t="s">
        <v>1371</v>
      </c>
      <c r="BH3" s="49" t="s">
        <v>1371</v>
      </c>
      <c r="BI3" s="1"/>
      <c r="BJ3" s="70" t="s">
        <v>1281</v>
      </c>
      <c r="BK3" s="57" t="s">
        <v>1281</v>
      </c>
      <c r="BL3" s="57" t="s">
        <v>1281</v>
      </c>
      <c r="BM3" s="57" t="s">
        <v>1281</v>
      </c>
      <c r="BN3" s="57" t="s">
        <v>1281</v>
      </c>
      <c r="BO3" s="57" t="s">
        <v>1281</v>
      </c>
      <c r="BP3" s="57" t="s">
        <v>1281</v>
      </c>
      <c r="BQ3" s="57" t="s">
        <v>1281</v>
      </c>
      <c r="BR3" s="57" t="s">
        <v>1281</v>
      </c>
      <c r="BS3" s="57" t="s">
        <v>1281</v>
      </c>
      <c r="BT3" s="57" t="s">
        <v>1281</v>
      </c>
      <c r="BU3" s="57" t="s">
        <v>1281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1422</v>
      </c>
      <c r="BF4" s="118">
        <v>2.7</v>
      </c>
      <c r="BG4" s="49" t="s">
        <v>1371</v>
      </c>
      <c r="BH4" s="49" t="s">
        <v>1371</v>
      </c>
      <c r="BI4" s="1"/>
      <c r="BJ4" s="70" t="s">
        <v>1281</v>
      </c>
      <c r="BK4" s="57" t="s">
        <v>1281</v>
      </c>
      <c r="BL4" s="57" t="s">
        <v>1281</v>
      </c>
      <c r="BM4" s="57" t="s">
        <v>1281</v>
      </c>
      <c r="BN4" s="57" t="s">
        <v>1281</v>
      </c>
      <c r="BO4" s="57" t="s">
        <v>1281</v>
      </c>
      <c r="BP4" s="57" t="s">
        <v>1281</v>
      </c>
      <c r="BQ4" s="57" t="s">
        <v>1281</v>
      </c>
      <c r="BR4" s="57" t="s">
        <v>1281</v>
      </c>
      <c r="BS4" s="57" t="s">
        <v>1281</v>
      </c>
      <c r="BT4" s="57" t="s">
        <v>1281</v>
      </c>
      <c r="BU4" s="57" t="s">
        <v>1281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1461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1422</v>
      </c>
      <c r="BF5" s="118">
        <v>3.7</v>
      </c>
      <c r="BG5" s="49" t="s">
        <v>1371</v>
      </c>
      <c r="BH5" s="49" t="s">
        <v>1371</v>
      </c>
      <c r="BI5" s="1"/>
      <c r="BJ5" s="70" t="s">
        <v>1281</v>
      </c>
      <c r="BK5" s="57" t="s">
        <v>1281</v>
      </c>
      <c r="BL5" s="57" t="s">
        <v>1281</v>
      </c>
      <c r="BM5" s="57" t="s">
        <v>1281</v>
      </c>
      <c r="BN5" s="57" t="s">
        <v>1281</v>
      </c>
      <c r="BO5" s="57" t="s">
        <v>1281</v>
      </c>
      <c r="BP5" s="57" t="s">
        <v>1281</v>
      </c>
      <c r="BQ5" s="57" t="s">
        <v>1281</v>
      </c>
      <c r="BR5" s="57" t="s">
        <v>1281</v>
      </c>
      <c r="BS5" s="57" t="s">
        <v>1281</v>
      </c>
      <c r="BT5" s="57" t="s">
        <v>1281</v>
      </c>
      <c r="BU5" s="57" t="s">
        <v>1281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1498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1369</v>
      </c>
      <c r="BE6" s="3" t="s">
        <v>1285</v>
      </c>
      <c r="BF6" s="118">
        <v>3.78</v>
      </c>
      <c r="BG6" s="49" t="s">
        <v>1012</v>
      </c>
      <c r="BH6" s="49" t="s">
        <v>1012</v>
      </c>
      <c r="BI6" s="1"/>
      <c r="BJ6" s="70" t="s">
        <v>1281</v>
      </c>
      <c r="BK6" s="57" t="s">
        <v>1281</v>
      </c>
      <c r="BL6" s="57" t="s">
        <v>1281</v>
      </c>
      <c r="BM6" s="57" t="s">
        <v>1281</v>
      </c>
      <c r="BN6" s="57" t="s">
        <v>1281</v>
      </c>
      <c r="BO6" s="57" t="s">
        <v>1281</v>
      </c>
      <c r="BP6" s="57" t="s">
        <v>1281</v>
      </c>
      <c r="BQ6" s="57" t="s">
        <v>1281</v>
      </c>
      <c r="BR6" s="57" t="s">
        <v>1281</v>
      </c>
      <c r="BS6" s="57" t="s">
        <v>1281</v>
      </c>
      <c r="BT6" s="57" t="s">
        <v>1281</v>
      </c>
      <c r="BU6" s="57" t="s">
        <v>1281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1281</v>
      </c>
      <c r="BK7" s="112" t="s">
        <v>1281</v>
      </c>
      <c r="BL7" s="112" t="s">
        <v>1281</v>
      </c>
      <c r="BM7" s="112" t="s">
        <v>1281</v>
      </c>
      <c r="BN7" s="112" t="s">
        <v>1281</v>
      </c>
      <c r="BO7" s="112" t="s">
        <v>1281</v>
      </c>
      <c r="BP7" s="112" t="s">
        <v>1281</v>
      </c>
      <c r="BQ7" s="112" t="s">
        <v>1281</v>
      </c>
      <c r="BR7" s="112" t="s">
        <v>1281</v>
      </c>
      <c r="BS7" s="112" t="s">
        <v>1281</v>
      </c>
      <c r="BT7" s="112" t="s">
        <v>1281</v>
      </c>
      <c r="BU7" s="112" t="s">
        <v>1281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1553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1368</v>
      </c>
      <c r="BF8" s="119">
        <v>3</v>
      </c>
      <c r="BG8" s="51" t="s">
        <v>1</v>
      </c>
      <c r="BH8" s="51" t="s">
        <v>1</v>
      </c>
      <c r="BJ8" s="111" t="s">
        <v>1281</v>
      </c>
      <c r="BK8" s="112" t="s">
        <v>1281</v>
      </c>
      <c r="BL8" s="112" t="s">
        <v>1281</v>
      </c>
      <c r="BM8" s="112" t="s">
        <v>1281</v>
      </c>
      <c r="BN8" s="112" t="s">
        <v>1281</v>
      </c>
      <c r="BO8" s="112" t="s">
        <v>1281</v>
      </c>
      <c r="BP8" s="112" t="s">
        <v>1281</v>
      </c>
      <c r="BQ8" s="112" t="s">
        <v>1281</v>
      </c>
      <c r="BR8" s="112" t="s">
        <v>1281</v>
      </c>
      <c r="BS8" s="112" t="s">
        <v>1281</v>
      </c>
      <c r="BT8" s="112" t="s">
        <v>1281</v>
      </c>
      <c r="BU8" s="112" t="s">
        <v>1281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1552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1370</v>
      </c>
      <c r="BE9" s="9" t="s">
        <v>1368</v>
      </c>
      <c r="BF9" s="119">
        <v>2.9</v>
      </c>
      <c r="BG9" s="51" t="s">
        <v>1</v>
      </c>
      <c r="BH9" s="51" t="s">
        <v>1</v>
      </c>
      <c r="BJ9" s="111" t="s">
        <v>1281</v>
      </c>
      <c r="BK9" s="112" t="s">
        <v>1281</v>
      </c>
      <c r="BL9" s="112" t="s">
        <v>1281</v>
      </c>
      <c r="BM9" s="112" t="s">
        <v>1281</v>
      </c>
      <c r="BN9" s="112" t="s">
        <v>1281</v>
      </c>
      <c r="BO9" s="112" t="s">
        <v>1281</v>
      </c>
      <c r="BP9" s="112" t="s">
        <v>1281</v>
      </c>
      <c r="BQ9" s="112" t="s">
        <v>1281</v>
      </c>
      <c r="BR9" s="112" t="s">
        <v>1281</v>
      </c>
      <c r="BS9" s="112" t="s">
        <v>1281</v>
      </c>
      <c r="BT9" s="112" t="s">
        <v>1281</v>
      </c>
      <c r="BU9" s="112" t="s">
        <v>1281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1366</v>
      </c>
      <c r="BH10" s="49" t="s">
        <v>1371</v>
      </c>
      <c r="BI10" s="1"/>
      <c r="BJ10" s="70" t="s">
        <v>1281</v>
      </c>
      <c r="BK10" s="57" t="s">
        <v>1281</v>
      </c>
      <c r="BL10" s="57" t="s">
        <v>1281</v>
      </c>
      <c r="BM10" s="57" t="s">
        <v>1281</v>
      </c>
      <c r="BN10" s="57" t="s">
        <v>1281</v>
      </c>
      <c r="BO10" s="57" t="s">
        <v>1281</v>
      </c>
      <c r="BP10" s="57" t="s">
        <v>1281</v>
      </c>
      <c r="BQ10" s="57" t="s">
        <v>1281</v>
      </c>
      <c r="BR10" s="57" t="s">
        <v>1281</v>
      </c>
      <c r="BS10" s="57" t="s">
        <v>1281</v>
      </c>
      <c r="BT10" s="57" t="s">
        <v>1281</v>
      </c>
      <c r="BU10" s="57" t="s">
        <v>1281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1423</v>
      </c>
      <c r="BE11" s="3" t="s">
        <v>1422</v>
      </c>
      <c r="BF11" s="118">
        <v>2.7</v>
      </c>
      <c r="BG11" s="49" t="s">
        <v>1371</v>
      </c>
      <c r="BH11" s="49" t="s">
        <v>1371</v>
      </c>
      <c r="BI11" s="1"/>
      <c r="BJ11" s="70" t="s">
        <v>1281</v>
      </c>
      <c r="BK11" s="57" t="s">
        <v>1281</v>
      </c>
      <c r="BL11" s="57" t="s">
        <v>1281</v>
      </c>
      <c r="BM11" s="57" t="s">
        <v>1281</v>
      </c>
      <c r="BN11" s="57" t="s">
        <v>1281</v>
      </c>
      <c r="BO11" s="57" t="s">
        <v>1281</v>
      </c>
      <c r="BP11" s="57" t="s">
        <v>1281</v>
      </c>
      <c r="BQ11" s="57" t="s">
        <v>1281</v>
      </c>
      <c r="BR11" s="57" t="s">
        <v>1281</v>
      </c>
      <c r="BS11" s="57" t="s">
        <v>1281</v>
      </c>
      <c r="BT11" s="57" t="s">
        <v>1281</v>
      </c>
      <c r="BU11" s="57" t="s">
        <v>1281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1158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1422</v>
      </c>
      <c r="BF12" s="118">
        <v>2.7</v>
      </c>
      <c r="BG12" s="49" t="s">
        <v>1371</v>
      </c>
      <c r="BH12" s="49" t="s">
        <v>1371</v>
      </c>
      <c r="BI12" s="1"/>
      <c r="BJ12" s="70" t="s">
        <v>1281</v>
      </c>
      <c r="BK12" s="57" t="s">
        <v>1281</v>
      </c>
      <c r="BL12" s="57" t="s">
        <v>1281</v>
      </c>
      <c r="BM12" s="57" t="s">
        <v>1281</v>
      </c>
      <c r="BN12" s="57" t="s">
        <v>1281</v>
      </c>
      <c r="BO12" s="57" t="s">
        <v>1281</v>
      </c>
      <c r="BP12" s="57" t="s">
        <v>1281</v>
      </c>
      <c r="BQ12" s="57" t="s">
        <v>1281</v>
      </c>
      <c r="BR12" s="57" t="s">
        <v>1281</v>
      </c>
      <c r="BS12" s="57" t="s">
        <v>1281</v>
      </c>
      <c r="BT12" s="57" t="s">
        <v>1281</v>
      </c>
      <c r="BU12" s="57" t="s">
        <v>1281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1302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1422</v>
      </c>
      <c r="BF13" s="118">
        <v>2.8</v>
      </c>
      <c r="BG13" s="49" t="s">
        <v>1371</v>
      </c>
      <c r="BH13" s="49" t="s">
        <v>1371</v>
      </c>
      <c r="BI13" s="1"/>
      <c r="BJ13" s="70" t="s">
        <v>1281</v>
      </c>
      <c r="BK13" s="57" t="s">
        <v>1281</v>
      </c>
      <c r="BL13" s="57" t="s">
        <v>1281</v>
      </c>
      <c r="BM13" s="57" t="s">
        <v>1281</v>
      </c>
      <c r="BN13" s="57" t="s">
        <v>1281</v>
      </c>
      <c r="BO13" s="57" t="s">
        <v>1281</v>
      </c>
      <c r="BP13" s="57" t="s">
        <v>1281</v>
      </c>
      <c r="BQ13" s="57" t="s">
        <v>1281</v>
      </c>
      <c r="BR13" s="57" t="s">
        <v>1281</v>
      </c>
      <c r="BS13" s="57" t="s">
        <v>1281</v>
      </c>
      <c r="BT13" s="57" t="s">
        <v>1281</v>
      </c>
      <c r="BU13" s="57" t="s">
        <v>1281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1421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1369</v>
      </c>
      <c r="BE14" s="3" t="s">
        <v>1285</v>
      </c>
      <c r="BF14" s="118">
        <v>3</v>
      </c>
      <c r="BG14" s="49" t="s">
        <v>1371</v>
      </c>
      <c r="BH14" s="49" t="s">
        <v>1371</v>
      </c>
      <c r="BI14" s="1"/>
      <c r="BJ14" s="70" t="s">
        <v>1281</v>
      </c>
      <c r="BK14" s="57" t="s">
        <v>1281</v>
      </c>
      <c r="BL14" s="57" t="s">
        <v>1281</v>
      </c>
      <c r="BM14" s="57" t="s">
        <v>1281</v>
      </c>
      <c r="BN14" s="57" t="s">
        <v>1281</v>
      </c>
      <c r="BO14" s="57" t="s">
        <v>1281</v>
      </c>
      <c r="BP14" s="57" t="s">
        <v>1281</v>
      </c>
      <c r="BQ14" s="57" t="s">
        <v>1281</v>
      </c>
      <c r="BR14" s="57" t="s">
        <v>1281</v>
      </c>
      <c r="BS14" s="57" t="s">
        <v>1281</v>
      </c>
      <c r="BT14" s="57" t="s">
        <v>1281</v>
      </c>
      <c r="BU14" s="57" t="s">
        <v>1281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1380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1422</v>
      </c>
      <c r="BF15" s="118">
        <v>2.9</v>
      </c>
      <c r="BG15" s="49" t="s">
        <v>1371</v>
      </c>
      <c r="BH15" s="49" t="s">
        <v>1371</v>
      </c>
      <c r="BI15" s="1"/>
      <c r="BJ15" s="70" t="s">
        <v>1281</v>
      </c>
      <c r="BK15" s="57" t="s">
        <v>1281</v>
      </c>
      <c r="BL15" s="57" t="s">
        <v>1281</v>
      </c>
      <c r="BM15" s="57" t="s">
        <v>1281</v>
      </c>
      <c r="BN15" s="57" t="s">
        <v>1281</v>
      </c>
      <c r="BO15" s="57" t="s">
        <v>1281</v>
      </c>
      <c r="BP15" s="57" t="s">
        <v>1281</v>
      </c>
      <c r="BQ15" s="57" t="s">
        <v>1281</v>
      </c>
      <c r="BR15" s="57" t="s">
        <v>1281</v>
      </c>
      <c r="BS15" s="57" t="s">
        <v>1281</v>
      </c>
      <c r="BT15" s="57" t="s">
        <v>1281</v>
      </c>
      <c r="BU15" s="57" t="s">
        <v>1281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1506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1422</v>
      </c>
      <c r="BF16" s="119">
        <v>3.1</v>
      </c>
      <c r="BG16" s="51" t="s">
        <v>1</v>
      </c>
      <c r="BH16" s="51" t="s">
        <v>1</v>
      </c>
      <c r="BJ16" s="111" t="s">
        <v>1281</v>
      </c>
      <c r="BK16" s="112" t="s">
        <v>1281</v>
      </c>
      <c r="BL16" s="112" t="s">
        <v>1281</v>
      </c>
      <c r="BM16" s="112" t="s">
        <v>1281</v>
      </c>
      <c r="BN16" s="112" t="s">
        <v>1281</v>
      </c>
      <c r="BO16" s="112" t="s">
        <v>1281</v>
      </c>
      <c r="BP16" s="112" t="s">
        <v>1281</v>
      </c>
      <c r="BQ16" s="112" t="s">
        <v>1281</v>
      </c>
      <c r="BR16" s="112" t="s">
        <v>1281</v>
      </c>
      <c r="BS16" s="112" t="s">
        <v>1281</v>
      </c>
      <c r="BT16" s="112" t="s">
        <v>1281</v>
      </c>
      <c r="BU16" s="112" t="s">
        <v>1281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1507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1422</v>
      </c>
      <c r="BF17" s="119">
        <v>2.92</v>
      </c>
      <c r="BG17" s="51" t="s">
        <v>1</v>
      </c>
      <c r="BH17" s="51" t="s">
        <v>1</v>
      </c>
      <c r="BJ17" s="111" t="s">
        <v>1281</v>
      </c>
      <c r="BK17" s="112" t="s">
        <v>1281</v>
      </c>
      <c r="BL17" s="112" t="s">
        <v>1281</v>
      </c>
      <c r="BM17" s="112" t="s">
        <v>1281</v>
      </c>
      <c r="BN17" s="112" t="s">
        <v>1281</v>
      </c>
      <c r="BO17" s="112" t="s">
        <v>1281</v>
      </c>
      <c r="BP17" s="112" t="s">
        <v>1281</v>
      </c>
      <c r="BQ17" s="112" t="s">
        <v>1281</v>
      </c>
      <c r="BR17" s="112" t="s">
        <v>1281</v>
      </c>
      <c r="BS17" s="112" t="s">
        <v>1281</v>
      </c>
      <c r="BT17" s="112" t="s">
        <v>1281</v>
      </c>
      <c r="BU17" s="112" t="s">
        <v>1281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1508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1422</v>
      </c>
      <c r="BF18" s="119">
        <v>3.1</v>
      </c>
      <c r="BG18" s="51" t="s">
        <v>1</v>
      </c>
      <c r="BH18" s="51" t="s">
        <v>1</v>
      </c>
      <c r="BJ18" s="111" t="s">
        <v>1281</v>
      </c>
      <c r="BK18" s="112" t="s">
        <v>1281</v>
      </c>
      <c r="BL18" s="112" t="s">
        <v>1281</v>
      </c>
      <c r="BM18" s="112" t="s">
        <v>1281</v>
      </c>
      <c r="BN18" s="112" t="s">
        <v>1281</v>
      </c>
      <c r="BO18" s="112" t="s">
        <v>1281</v>
      </c>
      <c r="BP18" s="112" t="s">
        <v>1281</v>
      </c>
      <c r="BQ18" s="112" t="s">
        <v>1281</v>
      </c>
      <c r="BR18" s="112" t="s">
        <v>1281</v>
      </c>
      <c r="BS18" s="112" t="s">
        <v>1281</v>
      </c>
      <c r="BT18" s="112" t="s">
        <v>1281</v>
      </c>
      <c r="BU18" s="112" t="s">
        <v>1281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1509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1422</v>
      </c>
      <c r="BF19" s="119">
        <v>3.19</v>
      </c>
      <c r="BG19" s="51" t="s">
        <v>1</v>
      </c>
      <c r="BH19" s="51" t="s">
        <v>1</v>
      </c>
      <c r="BJ19" s="111" t="s">
        <v>1281</v>
      </c>
      <c r="BK19" s="112" t="s">
        <v>1281</v>
      </c>
      <c r="BL19" s="112" t="s">
        <v>1281</v>
      </c>
      <c r="BM19" s="112" t="s">
        <v>1281</v>
      </c>
      <c r="BN19" s="112" t="s">
        <v>1281</v>
      </c>
      <c r="BO19" s="112" t="s">
        <v>1281</v>
      </c>
      <c r="BP19" s="112" t="s">
        <v>1281</v>
      </c>
      <c r="BQ19" s="112" t="s">
        <v>1281</v>
      </c>
      <c r="BR19" s="112" t="s">
        <v>1281</v>
      </c>
      <c r="BS19" s="112" t="s">
        <v>1281</v>
      </c>
      <c r="BT19" s="112" t="s">
        <v>1281</v>
      </c>
      <c r="BU19" s="112" t="s">
        <v>1281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1371</v>
      </c>
      <c r="BH20" s="49" t="s">
        <v>1371</v>
      </c>
      <c r="BI20" s="1"/>
      <c r="BJ20" s="70" t="s">
        <v>1281</v>
      </c>
      <c r="BK20" s="57" t="s">
        <v>1281</v>
      </c>
      <c r="BL20" s="57" t="s">
        <v>1281</v>
      </c>
      <c r="BM20" s="57" t="s">
        <v>1281</v>
      </c>
      <c r="BN20" s="57" t="s">
        <v>1281</v>
      </c>
      <c r="BO20" s="57" t="s">
        <v>1281</v>
      </c>
      <c r="BP20" s="57" t="s">
        <v>1281</v>
      </c>
      <c r="BQ20" s="57" t="s">
        <v>1281</v>
      </c>
      <c r="BR20" s="57" t="s">
        <v>1281</v>
      </c>
      <c r="BS20" s="57" t="s">
        <v>1281</v>
      </c>
      <c r="BT20" s="57" t="s">
        <v>1281</v>
      </c>
      <c r="BU20" s="57" t="s">
        <v>1281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1459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1369</v>
      </c>
      <c r="BE21" s="3" t="s">
        <v>1285</v>
      </c>
      <c r="BF21" s="118">
        <v>3</v>
      </c>
      <c r="BG21" s="49" t="s">
        <v>1</v>
      </c>
      <c r="BH21" s="49" t="s">
        <v>1</v>
      </c>
      <c r="BI21" s="1"/>
      <c r="BJ21" s="70" t="s">
        <v>1281</v>
      </c>
      <c r="BK21" s="57" t="s">
        <v>1281</v>
      </c>
      <c r="BL21" s="57" t="s">
        <v>1281</v>
      </c>
      <c r="BM21" s="57" t="s">
        <v>1281</v>
      </c>
      <c r="BN21" s="57" t="s">
        <v>1281</v>
      </c>
      <c r="BO21" s="57" t="s">
        <v>1281</v>
      </c>
      <c r="BP21" s="57" t="s">
        <v>1281</v>
      </c>
      <c r="BQ21" s="57" t="s">
        <v>1281</v>
      </c>
      <c r="BR21" s="57" t="s">
        <v>1281</v>
      </c>
      <c r="BS21" s="57" t="s">
        <v>1281</v>
      </c>
      <c r="BT21" s="57" t="s">
        <v>1281</v>
      </c>
      <c r="BU21" s="57" t="s">
        <v>1281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1460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1423</v>
      </c>
      <c r="BE22" s="3" t="s">
        <v>1422</v>
      </c>
      <c r="BF22" s="118">
        <v>2.7</v>
      </c>
      <c r="BG22" s="49" t="s">
        <v>1</v>
      </c>
      <c r="BH22" s="49" t="s">
        <v>1</v>
      </c>
      <c r="BI22" s="1"/>
      <c r="BJ22" s="70" t="s">
        <v>1281</v>
      </c>
      <c r="BK22" s="57" t="s">
        <v>1281</v>
      </c>
      <c r="BL22" s="57" t="s">
        <v>1281</v>
      </c>
      <c r="BM22" s="57" t="s">
        <v>1281</v>
      </c>
      <c r="BN22" s="57" t="s">
        <v>1281</v>
      </c>
      <c r="BO22" s="57" t="s">
        <v>1281</v>
      </c>
      <c r="BP22" s="57" t="s">
        <v>1281</v>
      </c>
      <c r="BQ22" s="57" t="s">
        <v>1281</v>
      </c>
      <c r="BR22" s="57" t="s">
        <v>1281</v>
      </c>
      <c r="BS22" s="57" t="s">
        <v>1281</v>
      </c>
      <c r="BT22" s="57" t="s">
        <v>1281</v>
      </c>
      <c r="BU22" s="57" t="s">
        <v>1281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1371</v>
      </c>
      <c r="BH23" s="49" t="s">
        <v>1371</v>
      </c>
      <c r="BI23" s="1"/>
      <c r="BJ23" s="70" t="s">
        <v>1281</v>
      </c>
      <c r="BK23" s="57" t="s">
        <v>1281</v>
      </c>
      <c r="BL23" s="57" t="s">
        <v>1281</v>
      </c>
      <c r="BM23" s="57" t="s">
        <v>1281</v>
      </c>
      <c r="BN23" s="57" t="s">
        <v>1281</v>
      </c>
      <c r="BO23" s="57" t="s">
        <v>1281</v>
      </c>
      <c r="BP23" s="57" t="s">
        <v>1281</v>
      </c>
      <c r="BQ23" s="57" t="s">
        <v>1281</v>
      </c>
      <c r="BR23" s="57" t="s">
        <v>1281</v>
      </c>
      <c r="BS23" s="57" t="s">
        <v>1281</v>
      </c>
      <c r="BT23" s="57" t="s">
        <v>1281</v>
      </c>
      <c r="BU23" s="57" t="s">
        <v>1281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1425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1368</v>
      </c>
      <c r="BF24" s="118">
        <v>3.3</v>
      </c>
      <c r="BG24" s="49" t="s">
        <v>1</v>
      </c>
      <c r="BH24" s="49" t="s">
        <v>1</v>
      </c>
      <c r="BI24" s="1"/>
      <c r="BJ24" s="70" t="s">
        <v>1281</v>
      </c>
      <c r="BK24" s="57" t="s">
        <v>1281</v>
      </c>
      <c r="BL24" s="57" t="s">
        <v>1281</v>
      </c>
      <c r="BM24" s="57" t="s">
        <v>1281</v>
      </c>
      <c r="BN24" s="57" t="s">
        <v>1281</v>
      </c>
      <c r="BO24" s="57" t="s">
        <v>1281</v>
      </c>
      <c r="BP24" s="57" t="s">
        <v>1281</v>
      </c>
      <c r="BQ24" s="57" t="s">
        <v>1281</v>
      </c>
      <c r="BR24" s="57" t="s">
        <v>1281</v>
      </c>
      <c r="BS24" s="57" t="s">
        <v>1281</v>
      </c>
      <c r="BT24" s="57" t="s">
        <v>1281</v>
      </c>
      <c r="BU24" s="57" t="s">
        <v>1281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1383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1370</v>
      </c>
      <c r="BE25" s="3" t="s">
        <v>1368</v>
      </c>
      <c r="BF25" s="118">
        <v>3.2</v>
      </c>
      <c r="BG25" s="49" t="s">
        <v>1371</v>
      </c>
      <c r="BH25" s="49" t="s">
        <v>1371</v>
      </c>
      <c r="BI25" s="1"/>
      <c r="BJ25" s="70" t="s">
        <v>1281</v>
      </c>
      <c r="BK25" s="57" t="s">
        <v>1281</v>
      </c>
      <c r="BL25" s="57" t="s">
        <v>1281</v>
      </c>
      <c r="BM25" s="57" t="s">
        <v>1281</v>
      </c>
      <c r="BN25" s="57" t="s">
        <v>1281</v>
      </c>
      <c r="BO25" s="57" t="s">
        <v>1281</v>
      </c>
      <c r="BP25" s="57" t="s">
        <v>1281</v>
      </c>
      <c r="BQ25" s="57" t="s">
        <v>1281</v>
      </c>
      <c r="BR25" s="57" t="s">
        <v>1281</v>
      </c>
      <c r="BS25" s="57" t="s">
        <v>1281</v>
      </c>
      <c r="BT25" s="57" t="s">
        <v>1281</v>
      </c>
      <c r="BU25" s="57" t="s">
        <v>1281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1497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1369</v>
      </c>
      <c r="BE26" s="3" t="s">
        <v>1285</v>
      </c>
      <c r="BF26" s="118">
        <v>3.6</v>
      </c>
      <c r="BG26" s="49" t="s">
        <v>1416</v>
      </c>
      <c r="BH26" s="49" t="s">
        <v>1416</v>
      </c>
      <c r="BI26" s="1"/>
      <c r="BJ26" s="70" t="s">
        <v>1281</v>
      </c>
      <c r="BK26" s="57" t="s">
        <v>1281</v>
      </c>
      <c r="BL26" s="57" t="s">
        <v>1281</v>
      </c>
      <c r="BM26" s="57" t="s">
        <v>1281</v>
      </c>
      <c r="BN26" s="57" t="s">
        <v>1281</v>
      </c>
      <c r="BO26" s="57" t="s">
        <v>1281</v>
      </c>
      <c r="BP26" s="57" t="s">
        <v>1281</v>
      </c>
      <c r="BQ26" s="57" t="s">
        <v>1281</v>
      </c>
      <c r="BR26" s="57" t="s">
        <v>1281</v>
      </c>
      <c r="BS26" s="57" t="s">
        <v>1281</v>
      </c>
      <c r="BT26" s="57" t="s">
        <v>1281</v>
      </c>
      <c r="BU26" s="57" t="s">
        <v>1281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1366</v>
      </c>
      <c r="BH27" s="49" t="s">
        <v>1371</v>
      </c>
      <c r="BI27" s="1"/>
      <c r="BJ27" s="70" t="s">
        <v>1281</v>
      </c>
      <c r="BK27" s="57" t="s">
        <v>1281</v>
      </c>
      <c r="BL27" s="57" t="s">
        <v>1281</v>
      </c>
      <c r="BM27" s="57" t="s">
        <v>1281</v>
      </c>
      <c r="BN27" s="57" t="s">
        <v>1281</v>
      </c>
      <c r="BO27" s="57" t="s">
        <v>1281</v>
      </c>
      <c r="BP27" s="57" t="s">
        <v>1281</v>
      </c>
      <c r="BQ27" s="57" t="s">
        <v>1281</v>
      </c>
      <c r="BR27" s="57" t="s">
        <v>1281</v>
      </c>
      <c r="BS27" s="57" t="s">
        <v>1281</v>
      </c>
      <c r="BT27" s="57" t="s">
        <v>1281</v>
      </c>
      <c r="BU27" s="57" t="s">
        <v>1281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1022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1422</v>
      </c>
      <c r="BF28" s="118">
        <v>3</v>
      </c>
      <c r="BG28" s="49" t="s">
        <v>1371</v>
      </c>
      <c r="BH28" s="49" t="s">
        <v>1371</v>
      </c>
      <c r="BI28" s="1"/>
      <c r="BJ28" s="70" t="s">
        <v>1281</v>
      </c>
      <c r="BK28" s="57" t="s">
        <v>1281</v>
      </c>
      <c r="BL28" s="57" t="s">
        <v>1281</v>
      </c>
      <c r="BM28" s="57" t="s">
        <v>1281</v>
      </c>
      <c r="BN28" s="57" t="s">
        <v>1281</v>
      </c>
      <c r="BO28" s="57" t="s">
        <v>1281</v>
      </c>
      <c r="BP28" s="57" t="s">
        <v>1281</v>
      </c>
      <c r="BQ28" s="57" t="s">
        <v>1281</v>
      </c>
      <c r="BR28" s="57" t="s">
        <v>1281</v>
      </c>
      <c r="BS28" s="57" t="s">
        <v>1281</v>
      </c>
      <c r="BT28" s="57" t="s">
        <v>1281</v>
      </c>
      <c r="BU28" s="57" t="s">
        <v>1281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1422</v>
      </c>
      <c r="BF29" s="118">
        <v>2.6</v>
      </c>
      <c r="BG29" s="49" t="s">
        <v>1371</v>
      </c>
      <c r="BH29" s="49" t="s">
        <v>1371</v>
      </c>
      <c r="BI29" s="1"/>
      <c r="BJ29" s="70" t="s">
        <v>1281</v>
      </c>
      <c r="BK29" s="57" t="s">
        <v>1281</v>
      </c>
      <c r="BL29" s="57" t="s">
        <v>1281</v>
      </c>
      <c r="BM29" s="57" t="s">
        <v>1281</v>
      </c>
      <c r="BN29" s="57" t="s">
        <v>1281</v>
      </c>
      <c r="BO29" s="57" t="s">
        <v>1281</v>
      </c>
      <c r="BP29" s="57" t="s">
        <v>1281</v>
      </c>
      <c r="BQ29" s="57" t="s">
        <v>1281</v>
      </c>
      <c r="BR29" s="57" t="s">
        <v>1281</v>
      </c>
      <c r="BS29" s="57" t="s">
        <v>1281</v>
      </c>
      <c r="BT29" s="57" t="s">
        <v>1281</v>
      </c>
      <c r="BU29" s="57" t="s">
        <v>1281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1027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1422</v>
      </c>
      <c r="BF30" s="118">
        <v>2.71</v>
      </c>
      <c r="BG30" s="49" t="s">
        <v>1371</v>
      </c>
      <c r="BH30" s="49" t="s">
        <v>1371</v>
      </c>
      <c r="BI30" s="1"/>
      <c r="BJ30" s="70" t="s">
        <v>1281</v>
      </c>
      <c r="BK30" s="57" t="s">
        <v>1281</v>
      </c>
      <c r="BL30" s="57" t="s">
        <v>1281</v>
      </c>
      <c r="BM30" s="57" t="s">
        <v>1281</v>
      </c>
      <c r="BN30" s="57" t="s">
        <v>1281</v>
      </c>
      <c r="BO30" s="57" t="s">
        <v>1281</v>
      </c>
      <c r="BP30" s="57" t="s">
        <v>1281</v>
      </c>
      <c r="BQ30" s="57" t="s">
        <v>1281</v>
      </c>
      <c r="BR30" s="57" t="s">
        <v>1281</v>
      </c>
      <c r="BS30" s="57" t="s">
        <v>1281</v>
      </c>
      <c r="BT30" s="57" t="s">
        <v>1281</v>
      </c>
      <c r="BU30" s="57" t="s">
        <v>1281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1422</v>
      </c>
      <c r="BF31" s="118">
        <v>3.31</v>
      </c>
      <c r="BG31" s="49" t="s">
        <v>1371</v>
      </c>
      <c r="BH31" s="49" t="s">
        <v>1371</v>
      </c>
      <c r="BI31" s="1"/>
      <c r="BJ31" s="70" t="s">
        <v>1281</v>
      </c>
      <c r="BK31" s="57" t="s">
        <v>1281</v>
      </c>
      <c r="BL31" s="57" t="s">
        <v>1281</v>
      </c>
      <c r="BM31" s="57" t="s">
        <v>1281</v>
      </c>
      <c r="BN31" s="57" t="s">
        <v>1281</v>
      </c>
      <c r="BO31" s="57" t="s">
        <v>1281</v>
      </c>
      <c r="BP31" s="57" t="s">
        <v>1281</v>
      </c>
      <c r="BQ31" s="57" t="s">
        <v>1281</v>
      </c>
      <c r="BR31" s="57" t="s">
        <v>1281</v>
      </c>
      <c r="BS31" s="57" t="s">
        <v>1281</v>
      </c>
      <c r="BT31" s="57" t="s">
        <v>1281</v>
      </c>
      <c r="BU31" s="57" t="s">
        <v>1281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1028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1368</v>
      </c>
      <c r="BF32" s="118">
        <v>3.6</v>
      </c>
      <c r="BG32" s="49" t="s">
        <v>1371</v>
      </c>
      <c r="BH32" s="49" t="s">
        <v>1371</v>
      </c>
      <c r="BI32" s="1"/>
      <c r="BJ32" s="70" t="s">
        <v>1281</v>
      </c>
      <c r="BK32" s="57" t="s">
        <v>1281</v>
      </c>
      <c r="BL32" s="57" t="s">
        <v>1281</v>
      </c>
      <c r="BM32" s="57" t="s">
        <v>1281</v>
      </c>
      <c r="BN32" s="57" t="s">
        <v>1281</v>
      </c>
      <c r="BO32" s="57" t="s">
        <v>1281</v>
      </c>
      <c r="BP32" s="57" t="s">
        <v>1281</v>
      </c>
      <c r="BQ32" s="57" t="s">
        <v>1281</v>
      </c>
      <c r="BR32" s="57" t="s">
        <v>1281</v>
      </c>
      <c r="BS32" s="57" t="s">
        <v>1281</v>
      </c>
      <c r="BT32" s="57" t="s">
        <v>1281</v>
      </c>
      <c r="BU32" s="57" t="s">
        <v>1281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1029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1368</v>
      </c>
      <c r="BF33" s="118">
        <v>3.27</v>
      </c>
      <c r="BG33" s="49" t="s">
        <v>1371</v>
      </c>
      <c r="BH33" s="49" t="s">
        <v>1371</v>
      </c>
      <c r="BI33" s="1"/>
      <c r="BJ33" s="70" t="s">
        <v>1281</v>
      </c>
      <c r="BK33" s="57" t="s">
        <v>1281</v>
      </c>
      <c r="BL33" s="57" t="s">
        <v>1281</v>
      </c>
      <c r="BM33" s="57" t="s">
        <v>1281</v>
      </c>
      <c r="BN33" s="57" t="s">
        <v>1281</v>
      </c>
      <c r="BO33" s="57" t="s">
        <v>1281</v>
      </c>
      <c r="BP33" s="57" t="s">
        <v>1281</v>
      </c>
      <c r="BQ33" s="57" t="s">
        <v>1281</v>
      </c>
      <c r="BR33" s="57" t="s">
        <v>1281</v>
      </c>
      <c r="BS33" s="57" t="s">
        <v>1281</v>
      </c>
      <c r="BT33" s="57" t="s">
        <v>1281</v>
      </c>
      <c r="BU33" s="57" t="s">
        <v>1281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1030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1368</v>
      </c>
      <c r="BF34" s="118">
        <v>3.34</v>
      </c>
      <c r="BG34" s="49" t="s">
        <v>1371</v>
      </c>
      <c r="BH34" s="49" t="s">
        <v>1371</v>
      </c>
      <c r="BI34" s="1"/>
      <c r="BJ34" s="70" t="s">
        <v>1281</v>
      </c>
      <c r="BK34" s="57" t="s">
        <v>1281</v>
      </c>
      <c r="BL34" s="57" t="s">
        <v>1281</v>
      </c>
      <c r="BM34" s="57" t="s">
        <v>1281</v>
      </c>
      <c r="BN34" s="57" t="s">
        <v>1281</v>
      </c>
      <c r="BO34" s="57" t="s">
        <v>1281</v>
      </c>
      <c r="BP34" s="57" t="s">
        <v>1281</v>
      </c>
      <c r="BQ34" s="57" t="s">
        <v>1281</v>
      </c>
      <c r="BR34" s="57" t="s">
        <v>1281</v>
      </c>
      <c r="BS34" s="57" t="s">
        <v>1281</v>
      </c>
      <c r="BT34" s="57" t="s">
        <v>1281</v>
      </c>
      <c r="BU34" s="57" t="s">
        <v>1281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1097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1370</v>
      </c>
      <c r="BE35" s="3" t="s">
        <v>1368</v>
      </c>
      <c r="BF35" s="118">
        <v>2.7</v>
      </c>
      <c r="BG35" s="49" t="s">
        <v>1371</v>
      </c>
      <c r="BH35" s="49" t="s">
        <v>1371</v>
      </c>
      <c r="BI35" s="1"/>
      <c r="BJ35" s="70" t="s">
        <v>1281</v>
      </c>
      <c r="BK35" s="57" t="s">
        <v>1281</v>
      </c>
      <c r="BL35" s="57" t="s">
        <v>1281</v>
      </c>
      <c r="BM35" s="57" t="s">
        <v>1281</v>
      </c>
      <c r="BN35" s="57" t="s">
        <v>1281</v>
      </c>
      <c r="BO35" s="57" t="s">
        <v>1281</v>
      </c>
      <c r="BP35" s="57" t="s">
        <v>1281</v>
      </c>
      <c r="BQ35" s="57" t="s">
        <v>1281</v>
      </c>
      <c r="BR35" s="57" t="s">
        <v>1281</v>
      </c>
      <c r="BS35" s="57" t="s">
        <v>1281</v>
      </c>
      <c r="BT35" s="57" t="s">
        <v>1281</v>
      </c>
      <c r="BU35" s="57" t="s">
        <v>1281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1368</v>
      </c>
      <c r="BF36" s="118">
        <v>1.8</v>
      </c>
      <c r="BG36" s="49" t="s">
        <v>1371</v>
      </c>
      <c r="BH36" s="49" t="s">
        <v>1371</v>
      </c>
      <c r="BI36" s="1"/>
      <c r="BJ36" s="70" t="s">
        <v>1281</v>
      </c>
      <c r="BK36" s="57" t="s">
        <v>1281</v>
      </c>
      <c r="BL36" s="57" t="s">
        <v>1281</v>
      </c>
      <c r="BM36" s="57" t="s">
        <v>1281</v>
      </c>
      <c r="BN36" s="57" t="s">
        <v>1281</v>
      </c>
      <c r="BO36" s="57" t="s">
        <v>1281</v>
      </c>
      <c r="BP36" s="57" t="s">
        <v>1281</v>
      </c>
      <c r="BQ36" s="57" t="s">
        <v>1281</v>
      </c>
      <c r="BR36" s="57" t="s">
        <v>1281</v>
      </c>
      <c r="BS36" s="57" t="s">
        <v>1281</v>
      </c>
      <c r="BT36" s="57" t="s">
        <v>1281</v>
      </c>
      <c r="BU36" s="57" t="s">
        <v>1281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1048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1423</v>
      </c>
      <c r="BE37" s="3" t="s">
        <v>1422</v>
      </c>
      <c r="BF37" s="118">
        <v>2.6</v>
      </c>
      <c r="BG37" s="49" t="s">
        <v>1371</v>
      </c>
      <c r="BH37" s="49" t="s">
        <v>1371</v>
      </c>
      <c r="BI37" s="1"/>
      <c r="BJ37" s="70" t="s">
        <v>1281</v>
      </c>
      <c r="BK37" s="57" t="s">
        <v>1281</v>
      </c>
      <c r="BL37" s="57" t="s">
        <v>1281</v>
      </c>
      <c r="BM37" s="57" t="s">
        <v>1281</v>
      </c>
      <c r="BN37" s="57" t="s">
        <v>1281</v>
      </c>
      <c r="BO37" s="57" t="s">
        <v>1281</v>
      </c>
      <c r="BP37" s="57" t="s">
        <v>1281</v>
      </c>
      <c r="BQ37" s="57" t="s">
        <v>1281</v>
      </c>
      <c r="BR37" s="57" t="s">
        <v>1281</v>
      </c>
      <c r="BS37" s="57" t="s">
        <v>1281</v>
      </c>
      <c r="BT37" s="57" t="s">
        <v>1281</v>
      </c>
      <c r="BU37" s="57" t="s">
        <v>1281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1286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7" si="225">_xlfn.AGGREGATE(9,6,CH38:CS38)-_xlfn.AGGREGATE(9,6,BV38:CG38)+12</f>
        <v>251</v>
      </c>
      <c r="BD38" s="4" t="s">
        <v>1369</v>
      </c>
      <c r="BE38" s="3" t="s">
        <v>1285</v>
      </c>
      <c r="BF38" s="118">
        <v>3.4</v>
      </c>
      <c r="BG38" s="49" t="s">
        <v>1275</v>
      </c>
      <c r="BH38" s="49" t="s">
        <v>1275</v>
      </c>
      <c r="BI38" s="1"/>
      <c r="BJ38" s="70" t="s">
        <v>1281</v>
      </c>
      <c r="BK38" s="57" t="s">
        <v>1281</v>
      </c>
      <c r="BL38" s="57" t="s">
        <v>1281</v>
      </c>
      <c r="BM38" s="57" t="s">
        <v>1281</v>
      </c>
      <c r="BN38" s="57" t="s">
        <v>1281</v>
      </c>
      <c r="BO38" s="57" t="s">
        <v>1281</v>
      </c>
      <c r="BP38" s="57" t="s">
        <v>1281</v>
      </c>
      <c r="BQ38" s="57" t="s">
        <v>1281</v>
      </c>
      <c r="BR38" s="57" t="s">
        <v>1281</v>
      </c>
      <c r="BS38" s="57" t="s">
        <v>1281</v>
      </c>
      <c r="BT38" s="57" t="s">
        <v>1281</v>
      </c>
      <c r="BU38" s="57" t="s">
        <v>1281</v>
      </c>
      <c r="BV38" s="70">
        <f t="shared" ref="BV38:BV107" si="226">E38</f>
        <v>6</v>
      </c>
      <c r="BW38" s="71">
        <f t="shared" ref="BW38:BW107" si="227">I38</f>
        <v>35</v>
      </c>
      <c r="BX38" s="72">
        <f t="shared" ref="BX38:BX107" si="228">M38</f>
        <v>39</v>
      </c>
      <c r="BY38" s="71">
        <f t="shared" ref="BY38:BY107" si="229">Q38</f>
        <v>70</v>
      </c>
      <c r="BZ38" s="72">
        <f t="shared" ref="BZ38:BZ107" si="230">U38</f>
        <v>73</v>
      </c>
      <c r="CA38" s="71">
        <f t="shared" ref="CA38:CA107" si="231">Y38</f>
        <v>109</v>
      </c>
      <c r="CB38" s="72">
        <f t="shared" ref="CB38:CB107" si="232">AC38</f>
        <v>117</v>
      </c>
      <c r="CC38" s="71">
        <f t="shared" ref="CC38:CC107" si="233">AG38</f>
        <v>166</v>
      </c>
      <c r="CD38" s="72">
        <f t="shared" ref="CD38:CD107" si="234">AK38</f>
        <v>173</v>
      </c>
      <c r="CE38" s="71">
        <f t="shared" ref="CE38:CE107" si="235">AO38</f>
        <v>224</v>
      </c>
      <c r="CF38" s="72">
        <f t="shared" ref="CF38:CF107" si="236">AS38</f>
        <v>266</v>
      </c>
      <c r="CG38" s="71">
        <f t="shared" ref="CG38:CG107" si="237">AW38</f>
        <v>292</v>
      </c>
      <c r="CH38" s="70">
        <f t="shared" ref="CH38:CH107" si="238">G38</f>
        <v>34</v>
      </c>
      <c r="CI38" s="71">
        <f t="shared" ref="CI38:CI107" si="239">K38</f>
        <v>38</v>
      </c>
      <c r="CJ38" s="72">
        <f t="shared" ref="CJ38:CJ107" si="240">O38</f>
        <v>69</v>
      </c>
      <c r="CK38" s="72">
        <f t="shared" ref="CK38:CK107" si="241">S38</f>
        <v>72</v>
      </c>
      <c r="CL38" s="72">
        <f t="shared" ref="CL38:CL107" si="242">W38</f>
        <v>108</v>
      </c>
      <c r="CM38" s="72">
        <f t="shared" ref="CM38:CM107" si="243">AA38</f>
        <v>116</v>
      </c>
      <c r="CN38" s="72">
        <f t="shared" ref="CN38:CN107" si="244">AE38</f>
        <v>142</v>
      </c>
      <c r="CO38" s="72">
        <f t="shared" ref="CO38:CO107" si="245">AI38</f>
        <v>168</v>
      </c>
      <c r="CP38" s="72">
        <f t="shared" ref="CP38:CP107" si="246">AM38</f>
        <v>207</v>
      </c>
      <c r="CQ38" s="72">
        <f t="shared" ref="CQ38:CQ107" si="247">AQ38</f>
        <v>259</v>
      </c>
      <c r="CR38" s="72">
        <f t="shared" ref="CR38:CR107" si="248">AU38</f>
        <v>291</v>
      </c>
      <c r="CS38" s="72">
        <f t="shared" ref="CS38:CS107" si="249">AY38</f>
        <v>305</v>
      </c>
      <c r="CT38" s="23">
        <f t="shared" ref="CT38:CT10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1339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1368</v>
      </c>
      <c r="BF39" s="118">
        <v>1.72</v>
      </c>
      <c r="BG39" s="49" t="s">
        <v>1371</v>
      </c>
      <c r="BH39" s="49" t="s">
        <v>1371</v>
      </c>
      <c r="BI39" s="1"/>
      <c r="BJ39" s="70" t="s">
        <v>1281</v>
      </c>
      <c r="BK39" s="57" t="s">
        <v>1281</v>
      </c>
      <c r="BL39" s="57" t="s">
        <v>1281</v>
      </c>
      <c r="BM39" s="57" t="s">
        <v>1281</v>
      </c>
      <c r="BN39" s="57" t="s">
        <v>1281</v>
      </c>
      <c r="BO39" s="57" t="s">
        <v>1281</v>
      </c>
      <c r="BP39" s="57" t="s">
        <v>1281</v>
      </c>
      <c r="BQ39" s="57" t="s">
        <v>1281</v>
      </c>
      <c r="BR39" s="57" t="s">
        <v>1281</v>
      </c>
      <c r="BS39" s="57" t="s">
        <v>1281</v>
      </c>
      <c r="BT39" s="57" t="s">
        <v>1281</v>
      </c>
      <c r="BU39" s="57" t="s">
        <v>1281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1340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1368</v>
      </c>
      <c r="BF40" s="118">
        <v>1.9</v>
      </c>
      <c r="BG40" s="49" t="s">
        <v>1371</v>
      </c>
      <c r="BH40" s="49" t="s">
        <v>1371</v>
      </c>
      <c r="BI40" s="1"/>
      <c r="BJ40" s="70" t="s">
        <v>1281</v>
      </c>
      <c r="BK40" s="57" t="s">
        <v>1281</v>
      </c>
      <c r="BL40" s="57" t="s">
        <v>1281</v>
      </c>
      <c r="BM40" s="57" t="s">
        <v>1281</v>
      </c>
      <c r="BN40" s="57" t="s">
        <v>1281</v>
      </c>
      <c r="BO40" s="57" t="s">
        <v>1281</v>
      </c>
      <c r="BP40" s="57" t="s">
        <v>1281</v>
      </c>
      <c r="BQ40" s="57" t="s">
        <v>1281</v>
      </c>
      <c r="BR40" s="57" t="s">
        <v>1281</v>
      </c>
      <c r="BS40" s="57" t="s">
        <v>1281</v>
      </c>
      <c r="BT40" s="57" t="s">
        <v>1281</v>
      </c>
      <c r="BU40" s="57" t="s">
        <v>1281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1341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1368</v>
      </c>
      <c r="BF41" s="118">
        <v>2</v>
      </c>
      <c r="BG41" s="49" t="s">
        <v>1371</v>
      </c>
      <c r="BH41" s="49" t="s">
        <v>1371</v>
      </c>
      <c r="BI41" s="1"/>
      <c r="BJ41" s="70" t="s">
        <v>1281</v>
      </c>
      <c r="BK41" s="57" t="s">
        <v>1281</v>
      </c>
      <c r="BL41" s="57" t="s">
        <v>1281</v>
      </c>
      <c r="BM41" s="57" t="s">
        <v>1281</v>
      </c>
      <c r="BN41" s="57" t="s">
        <v>1281</v>
      </c>
      <c r="BO41" s="57" t="s">
        <v>1281</v>
      </c>
      <c r="BP41" s="57" t="s">
        <v>1281</v>
      </c>
      <c r="BQ41" s="57" t="s">
        <v>1281</v>
      </c>
      <c r="BR41" s="57" t="s">
        <v>1281</v>
      </c>
      <c r="BS41" s="57" t="s">
        <v>1281</v>
      </c>
      <c r="BT41" s="57" t="s">
        <v>1281</v>
      </c>
      <c r="BU41" s="57" t="s">
        <v>1281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1342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1368</v>
      </c>
      <c r="BF42" s="118">
        <v>2.2000000000000002</v>
      </c>
      <c r="BG42" s="49" t="s">
        <v>1371</v>
      </c>
      <c r="BH42" s="49" t="s">
        <v>1371</v>
      </c>
      <c r="BI42" s="1"/>
      <c r="BJ42" s="70" t="s">
        <v>1281</v>
      </c>
      <c r="BK42" s="57" t="s">
        <v>1281</v>
      </c>
      <c r="BL42" s="57" t="s">
        <v>1281</v>
      </c>
      <c r="BM42" s="57" t="s">
        <v>1281</v>
      </c>
      <c r="BN42" s="57" t="s">
        <v>1281</v>
      </c>
      <c r="BO42" s="57" t="s">
        <v>1281</v>
      </c>
      <c r="BP42" s="57" t="s">
        <v>1281</v>
      </c>
      <c r="BQ42" s="57" t="s">
        <v>1281</v>
      </c>
      <c r="BR42" s="57" t="s">
        <v>1281</v>
      </c>
      <c r="BS42" s="57" t="s">
        <v>1281</v>
      </c>
      <c r="BT42" s="57" t="s">
        <v>1281</v>
      </c>
      <c r="BU42" s="57" t="s">
        <v>1281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1343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1368</v>
      </c>
      <c r="BF43" s="118">
        <v>2.1</v>
      </c>
      <c r="BG43" s="49" t="s">
        <v>1371</v>
      </c>
      <c r="BH43" s="49" t="s">
        <v>1371</v>
      </c>
      <c r="BI43" s="1"/>
      <c r="BJ43" s="70" t="s">
        <v>1281</v>
      </c>
      <c r="BK43" s="57" t="s">
        <v>1281</v>
      </c>
      <c r="BL43" s="57" t="s">
        <v>1281</v>
      </c>
      <c r="BM43" s="57" t="s">
        <v>1281</v>
      </c>
      <c r="BN43" s="57" t="s">
        <v>1281</v>
      </c>
      <c r="BO43" s="57" t="s">
        <v>1281</v>
      </c>
      <c r="BP43" s="57" t="s">
        <v>1281</v>
      </c>
      <c r="BQ43" s="57" t="s">
        <v>1281</v>
      </c>
      <c r="BR43" s="57" t="s">
        <v>1281</v>
      </c>
      <c r="BS43" s="57" t="s">
        <v>1281</v>
      </c>
      <c r="BT43" s="57" t="s">
        <v>1281</v>
      </c>
      <c r="BU43" s="57" t="s">
        <v>1281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1333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1368</v>
      </c>
      <c r="BF44" s="118">
        <v>2.5</v>
      </c>
      <c r="BG44" s="49" t="s">
        <v>1371</v>
      </c>
      <c r="BH44" s="49" t="s">
        <v>1371</v>
      </c>
      <c r="BI44" s="1"/>
      <c r="BJ44" s="70" t="s">
        <v>1281</v>
      </c>
      <c r="BK44" s="57" t="s">
        <v>1281</v>
      </c>
      <c r="BL44" s="57" t="s">
        <v>1281</v>
      </c>
      <c r="BM44" s="57" t="s">
        <v>1281</v>
      </c>
      <c r="BN44" s="57" t="s">
        <v>1281</v>
      </c>
      <c r="BO44" s="57" t="s">
        <v>1281</v>
      </c>
      <c r="BP44" s="57" t="s">
        <v>1281</v>
      </c>
      <c r="BQ44" s="57" t="s">
        <v>1281</v>
      </c>
      <c r="BR44" s="57" t="s">
        <v>1281</v>
      </c>
      <c r="BS44" s="57" t="s">
        <v>1281</v>
      </c>
      <c r="BT44" s="57" t="s">
        <v>1281</v>
      </c>
      <c r="BU44" s="57" t="s">
        <v>1281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1334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1368</v>
      </c>
      <c r="BF45" s="118">
        <v>2.5</v>
      </c>
      <c r="BG45" s="49" t="s">
        <v>1371</v>
      </c>
      <c r="BH45" s="49" t="s">
        <v>1371</v>
      </c>
      <c r="BI45" s="1"/>
      <c r="BJ45" s="70" t="s">
        <v>1281</v>
      </c>
      <c r="BK45" s="57" t="s">
        <v>1281</v>
      </c>
      <c r="BL45" s="57" t="s">
        <v>1281</v>
      </c>
      <c r="BM45" s="57" t="s">
        <v>1281</v>
      </c>
      <c r="BN45" s="57" t="s">
        <v>1281</v>
      </c>
      <c r="BO45" s="57" t="s">
        <v>1281</v>
      </c>
      <c r="BP45" s="57" t="s">
        <v>1281</v>
      </c>
      <c r="BQ45" s="57" t="s">
        <v>1281</v>
      </c>
      <c r="BR45" s="57" t="s">
        <v>1281</v>
      </c>
      <c r="BS45" s="57" t="s">
        <v>1281</v>
      </c>
      <c r="BT45" s="57" t="s">
        <v>1281</v>
      </c>
      <c r="BU45" s="57" t="s">
        <v>1281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1335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1368</v>
      </c>
      <c r="BF46" s="118">
        <v>1.9</v>
      </c>
      <c r="BG46" s="49" t="s">
        <v>1371</v>
      </c>
      <c r="BH46" s="49" t="s">
        <v>1371</v>
      </c>
      <c r="BI46" s="1"/>
      <c r="BJ46" s="70" t="s">
        <v>1281</v>
      </c>
      <c r="BK46" s="57" t="s">
        <v>1281</v>
      </c>
      <c r="BL46" s="57" t="s">
        <v>1281</v>
      </c>
      <c r="BM46" s="57" t="s">
        <v>1281</v>
      </c>
      <c r="BN46" s="57" t="s">
        <v>1281</v>
      </c>
      <c r="BO46" s="57" t="s">
        <v>1281</v>
      </c>
      <c r="BP46" s="57" t="s">
        <v>1281</v>
      </c>
      <c r="BQ46" s="57" t="s">
        <v>1281</v>
      </c>
      <c r="BR46" s="57" t="s">
        <v>1281</v>
      </c>
      <c r="BS46" s="57" t="s">
        <v>1281</v>
      </c>
      <c r="BT46" s="57" t="s">
        <v>1281</v>
      </c>
      <c r="BU46" s="57" t="s">
        <v>1281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1336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1368</v>
      </c>
      <c r="BF47" s="118">
        <v>1.9</v>
      </c>
      <c r="BG47" s="49" t="s">
        <v>1371</v>
      </c>
      <c r="BH47" s="49" t="s">
        <v>1371</v>
      </c>
      <c r="BI47" s="1"/>
      <c r="BJ47" s="70" t="s">
        <v>1281</v>
      </c>
      <c r="BK47" s="57" t="s">
        <v>1281</v>
      </c>
      <c r="BL47" s="57" t="s">
        <v>1281</v>
      </c>
      <c r="BM47" s="57" t="s">
        <v>1281</v>
      </c>
      <c r="BN47" s="57" t="s">
        <v>1281</v>
      </c>
      <c r="BO47" s="57" t="s">
        <v>1281</v>
      </c>
      <c r="BP47" s="57" t="s">
        <v>1281</v>
      </c>
      <c r="BQ47" s="57" t="s">
        <v>1281</v>
      </c>
      <c r="BR47" s="57" t="s">
        <v>1281</v>
      </c>
      <c r="BS47" s="57" t="s">
        <v>1281</v>
      </c>
      <c r="BT47" s="57" t="s">
        <v>1281</v>
      </c>
      <c r="BU47" s="57" t="s">
        <v>1281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1429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1368</v>
      </c>
      <c r="BF48" s="118">
        <v>2</v>
      </c>
      <c r="BG48" s="49" t="s">
        <v>1</v>
      </c>
      <c r="BH48" s="49" t="s">
        <v>1</v>
      </c>
      <c r="BI48" s="1"/>
      <c r="BJ48" s="70" t="s">
        <v>1281</v>
      </c>
      <c r="BK48" s="57" t="s">
        <v>1281</v>
      </c>
      <c r="BL48" s="57" t="s">
        <v>1281</v>
      </c>
      <c r="BM48" s="57" t="s">
        <v>1281</v>
      </c>
      <c r="BN48" s="57" t="s">
        <v>1281</v>
      </c>
      <c r="BO48" s="57" t="s">
        <v>1281</v>
      </c>
      <c r="BP48" s="57" t="s">
        <v>1281</v>
      </c>
      <c r="BQ48" s="57" t="s">
        <v>1281</v>
      </c>
      <c r="BR48" s="57" t="s">
        <v>1281</v>
      </c>
      <c r="BS48" s="57" t="s">
        <v>1281</v>
      </c>
      <c r="BT48" s="57" t="s">
        <v>1281</v>
      </c>
      <c r="BU48" s="57" t="s">
        <v>1281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1430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1368</v>
      </c>
      <c r="BF49" s="118">
        <v>3</v>
      </c>
      <c r="BG49" s="49" t="s">
        <v>1</v>
      </c>
      <c r="BH49" s="49" t="s">
        <v>1</v>
      </c>
      <c r="BI49" s="1"/>
      <c r="BJ49" s="70" t="s">
        <v>1281</v>
      </c>
      <c r="BK49" s="57" t="s">
        <v>1281</v>
      </c>
      <c r="BL49" s="57" t="s">
        <v>1281</v>
      </c>
      <c r="BM49" s="57" t="s">
        <v>1281</v>
      </c>
      <c r="BN49" s="57" t="s">
        <v>1281</v>
      </c>
      <c r="BO49" s="57" t="s">
        <v>1281</v>
      </c>
      <c r="BP49" s="57" t="s">
        <v>1281</v>
      </c>
      <c r="BQ49" s="57" t="s">
        <v>1281</v>
      </c>
      <c r="BR49" s="57" t="s">
        <v>1281</v>
      </c>
      <c r="BS49" s="57" t="s">
        <v>1281</v>
      </c>
      <c r="BT49" s="57" t="s">
        <v>1281</v>
      </c>
      <c r="BU49" s="57" t="s">
        <v>1281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1424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1368</v>
      </c>
      <c r="BF50" s="118">
        <v>2.9</v>
      </c>
      <c r="BG50" s="49" t="s">
        <v>1</v>
      </c>
      <c r="BH50" s="49" t="s">
        <v>1</v>
      </c>
      <c r="BI50" s="1"/>
      <c r="BJ50" s="70" t="s">
        <v>1281</v>
      </c>
      <c r="BK50" s="57" t="s">
        <v>1281</v>
      </c>
      <c r="BL50" s="57" t="s">
        <v>1281</v>
      </c>
      <c r="BM50" s="57" t="s">
        <v>1281</v>
      </c>
      <c r="BN50" s="57" t="s">
        <v>1281</v>
      </c>
      <c r="BO50" s="57" t="s">
        <v>1281</v>
      </c>
      <c r="BP50" s="57" t="s">
        <v>1281</v>
      </c>
      <c r="BQ50" s="57" t="s">
        <v>1281</v>
      </c>
      <c r="BR50" s="57" t="s">
        <v>1281</v>
      </c>
      <c r="BS50" s="57" t="s">
        <v>1281</v>
      </c>
      <c r="BT50" s="57" t="s">
        <v>1281</v>
      </c>
      <c r="BU50" s="57" t="s">
        <v>1281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1381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1368</v>
      </c>
      <c r="BF51" s="118">
        <v>3.5</v>
      </c>
      <c r="BG51" s="49" t="s">
        <v>1371</v>
      </c>
      <c r="BH51" s="49" t="s">
        <v>1371</v>
      </c>
      <c r="BI51" s="1"/>
      <c r="BJ51" s="70" t="s">
        <v>1281</v>
      </c>
      <c r="BK51" s="57" t="s">
        <v>1281</v>
      </c>
      <c r="BL51" s="57" t="s">
        <v>1281</v>
      </c>
      <c r="BM51" s="57" t="s">
        <v>1281</v>
      </c>
      <c r="BN51" s="57" t="s">
        <v>1281</v>
      </c>
      <c r="BO51" s="57" t="s">
        <v>1281</v>
      </c>
      <c r="BP51" s="57" t="s">
        <v>1281</v>
      </c>
      <c r="BQ51" s="57" t="s">
        <v>1281</v>
      </c>
      <c r="BR51" s="57" t="s">
        <v>1281</v>
      </c>
      <c r="BS51" s="57" t="s">
        <v>1281</v>
      </c>
      <c r="BT51" s="57" t="s">
        <v>1281</v>
      </c>
      <c r="BU51" s="57" t="s">
        <v>1281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1405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1368</v>
      </c>
      <c r="BF52" s="118">
        <v>3.2</v>
      </c>
      <c r="BG52" s="49" t="s">
        <v>1</v>
      </c>
      <c r="BH52" s="49" t="s">
        <v>1</v>
      </c>
      <c r="BI52" s="1"/>
      <c r="BJ52" s="70" t="s">
        <v>1281</v>
      </c>
      <c r="BK52" s="57" t="s">
        <v>1281</v>
      </c>
      <c r="BL52" s="57" t="s">
        <v>1281</v>
      </c>
      <c r="BM52" s="57" t="s">
        <v>1281</v>
      </c>
      <c r="BN52" s="57" t="s">
        <v>1281</v>
      </c>
      <c r="BO52" s="57" t="s">
        <v>1281</v>
      </c>
      <c r="BP52" s="57" t="s">
        <v>1281</v>
      </c>
      <c r="BQ52" s="57" t="s">
        <v>1281</v>
      </c>
      <c r="BR52" s="57" t="s">
        <v>1281</v>
      </c>
      <c r="BS52" s="57" t="s">
        <v>1281</v>
      </c>
      <c r="BT52" s="57" t="s">
        <v>1281</v>
      </c>
      <c r="BU52" s="57" t="s">
        <v>1281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1406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1368</v>
      </c>
      <c r="BF53" s="118">
        <v>2.8</v>
      </c>
      <c r="BG53" s="49" t="s">
        <v>1</v>
      </c>
      <c r="BH53" s="49" t="s">
        <v>1</v>
      </c>
      <c r="BI53" s="1"/>
      <c r="BJ53" s="70" t="s">
        <v>1281</v>
      </c>
      <c r="BK53" s="57" t="s">
        <v>1281</v>
      </c>
      <c r="BL53" s="57" t="s">
        <v>1281</v>
      </c>
      <c r="BM53" s="57" t="s">
        <v>1281</v>
      </c>
      <c r="BN53" s="57" t="s">
        <v>1281</v>
      </c>
      <c r="BO53" s="57" t="s">
        <v>1281</v>
      </c>
      <c r="BP53" s="57" t="s">
        <v>1281</v>
      </c>
      <c r="BQ53" s="57" t="s">
        <v>1281</v>
      </c>
      <c r="BR53" s="57" t="s">
        <v>1281</v>
      </c>
      <c r="BS53" s="57" t="s">
        <v>1281</v>
      </c>
      <c r="BT53" s="57" t="s">
        <v>1281</v>
      </c>
      <c r="BU53" s="57" t="s">
        <v>1281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1437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1368</v>
      </c>
      <c r="BF54" s="118">
        <v>1.95</v>
      </c>
      <c r="BG54" s="49" t="s">
        <v>1</v>
      </c>
      <c r="BH54" s="49" t="s">
        <v>1</v>
      </c>
      <c r="BI54" s="1"/>
      <c r="BJ54" s="70" t="s">
        <v>1281</v>
      </c>
      <c r="BK54" s="57" t="s">
        <v>1281</v>
      </c>
      <c r="BL54" s="57" t="s">
        <v>1281</v>
      </c>
      <c r="BM54" s="57" t="s">
        <v>1281</v>
      </c>
      <c r="BN54" s="57" t="s">
        <v>1281</v>
      </c>
      <c r="BO54" s="57" t="s">
        <v>1281</v>
      </c>
      <c r="BP54" s="57" t="s">
        <v>1281</v>
      </c>
      <c r="BQ54" s="57" t="s">
        <v>1281</v>
      </c>
      <c r="BR54" s="57" t="s">
        <v>1281</v>
      </c>
      <c r="BS54" s="57" t="s">
        <v>1281</v>
      </c>
      <c r="BT54" s="57" t="s">
        <v>1281</v>
      </c>
      <c r="BU54" s="57" t="s">
        <v>1281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1554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1368</v>
      </c>
      <c r="BF55" s="119">
        <v>1.7</v>
      </c>
      <c r="BG55" s="51" t="s">
        <v>1</v>
      </c>
      <c r="BH55" s="51" t="s">
        <v>1</v>
      </c>
      <c r="BJ55" s="111" t="s">
        <v>1281</v>
      </c>
      <c r="BK55" s="112" t="s">
        <v>1281</v>
      </c>
      <c r="BL55" s="112" t="s">
        <v>1281</v>
      </c>
      <c r="BM55" s="112" t="s">
        <v>1281</v>
      </c>
      <c r="BN55" s="112" t="s">
        <v>1281</v>
      </c>
      <c r="BO55" s="112" t="s">
        <v>1281</v>
      </c>
      <c r="BP55" s="112" t="s">
        <v>1281</v>
      </c>
      <c r="BQ55" s="112" t="s">
        <v>1281</v>
      </c>
      <c r="BR55" s="112" t="s">
        <v>1281</v>
      </c>
      <c r="BS55" s="112" t="s">
        <v>1281</v>
      </c>
      <c r="BT55" s="112" t="s">
        <v>1281</v>
      </c>
      <c r="BU55" s="112" t="s">
        <v>1281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1555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1368</v>
      </c>
      <c r="BF56" s="119">
        <v>2.14</v>
      </c>
      <c r="BG56" s="51" t="s">
        <v>1</v>
      </c>
      <c r="BH56" s="51" t="s">
        <v>1</v>
      </c>
      <c r="BJ56" s="111" t="s">
        <v>1281</v>
      </c>
      <c r="BK56" s="112" t="s">
        <v>1281</v>
      </c>
      <c r="BL56" s="112" t="s">
        <v>1281</v>
      </c>
      <c r="BM56" s="112" t="s">
        <v>1281</v>
      </c>
      <c r="BN56" s="112" t="s">
        <v>1281</v>
      </c>
      <c r="BO56" s="112" t="s">
        <v>1281</v>
      </c>
      <c r="BP56" s="112" t="s">
        <v>1281</v>
      </c>
      <c r="BQ56" s="112" t="s">
        <v>1281</v>
      </c>
      <c r="BR56" s="112" t="s">
        <v>1281</v>
      </c>
      <c r="BS56" s="112" t="s">
        <v>1281</v>
      </c>
      <c r="BT56" s="112" t="s">
        <v>1281</v>
      </c>
      <c r="BU56" s="112" t="s">
        <v>1281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1443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1368</v>
      </c>
      <c r="BF57" s="118">
        <v>2.35</v>
      </c>
      <c r="BG57" s="49" t="s">
        <v>1</v>
      </c>
      <c r="BH57" s="49" t="s">
        <v>1</v>
      </c>
      <c r="BI57" s="1"/>
      <c r="BJ57" s="70" t="s">
        <v>1281</v>
      </c>
      <c r="BK57" s="57" t="s">
        <v>1281</v>
      </c>
      <c r="BL57" s="57" t="s">
        <v>1281</v>
      </c>
      <c r="BM57" s="57" t="s">
        <v>1281</v>
      </c>
      <c r="BN57" s="57" t="s">
        <v>1281</v>
      </c>
      <c r="BO57" s="57" t="s">
        <v>1281</v>
      </c>
      <c r="BP57" s="57" t="s">
        <v>1281</v>
      </c>
      <c r="BQ57" s="57" t="s">
        <v>1281</v>
      </c>
      <c r="BR57" s="57" t="s">
        <v>1281</v>
      </c>
      <c r="BS57" s="57" t="s">
        <v>1281</v>
      </c>
      <c r="BT57" s="57" t="s">
        <v>1281</v>
      </c>
      <c r="BU57" s="57" t="s">
        <v>1281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1448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1368</v>
      </c>
      <c r="BF58" s="118">
        <v>1.87</v>
      </c>
      <c r="BG58" s="49" t="s">
        <v>1</v>
      </c>
      <c r="BH58" s="49" t="s">
        <v>1</v>
      </c>
      <c r="BI58" s="1"/>
      <c r="BJ58" s="70" t="s">
        <v>1281</v>
      </c>
      <c r="BK58" s="57" t="s">
        <v>1281</v>
      </c>
      <c r="BL58" s="57" t="s">
        <v>1281</v>
      </c>
      <c r="BM58" s="57" t="s">
        <v>1281</v>
      </c>
      <c r="BN58" s="57" t="s">
        <v>1281</v>
      </c>
      <c r="BO58" s="57" t="s">
        <v>1281</v>
      </c>
      <c r="BP58" s="57" t="s">
        <v>1281</v>
      </c>
      <c r="BQ58" s="57" t="s">
        <v>1281</v>
      </c>
      <c r="BR58" s="57" t="s">
        <v>1281</v>
      </c>
      <c r="BS58" s="57" t="s">
        <v>1281</v>
      </c>
      <c r="BT58" s="57" t="s">
        <v>1281</v>
      </c>
      <c r="BU58" s="57" t="s">
        <v>1281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1449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1368</v>
      </c>
      <c r="BF59" s="118">
        <v>2.6</v>
      </c>
      <c r="BG59" s="49" t="s">
        <v>1</v>
      </c>
      <c r="BH59" s="49" t="s">
        <v>1</v>
      </c>
      <c r="BI59" s="1"/>
      <c r="BJ59" s="70" t="s">
        <v>1281</v>
      </c>
      <c r="BK59" s="57" t="s">
        <v>1281</v>
      </c>
      <c r="BL59" s="57" t="s">
        <v>1281</v>
      </c>
      <c r="BM59" s="57" t="s">
        <v>1281</v>
      </c>
      <c r="BN59" s="57" t="s">
        <v>1281</v>
      </c>
      <c r="BO59" s="57" t="s">
        <v>1281</v>
      </c>
      <c r="BP59" s="57" t="s">
        <v>1281</v>
      </c>
      <c r="BQ59" s="57" t="s">
        <v>1281</v>
      </c>
      <c r="BR59" s="57" t="s">
        <v>1281</v>
      </c>
      <c r="BS59" s="57" t="s">
        <v>1281</v>
      </c>
      <c r="BT59" s="57" t="s">
        <v>1281</v>
      </c>
      <c r="BU59" s="57" t="s">
        <v>1281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1450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1368</v>
      </c>
      <c r="BF60" s="118">
        <v>3.1</v>
      </c>
      <c r="BG60" s="49" t="s">
        <v>1</v>
      </c>
      <c r="BH60" s="49" t="s">
        <v>1</v>
      </c>
      <c r="BI60" s="1"/>
      <c r="BJ60" s="70" t="s">
        <v>1281</v>
      </c>
      <c r="BK60" s="57" t="s">
        <v>1281</v>
      </c>
      <c r="BL60" s="57" t="s">
        <v>1281</v>
      </c>
      <c r="BM60" s="57" t="s">
        <v>1281</v>
      </c>
      <c r="BN60" s="57" t="s">
        <v>1281</v>
      </c>
      <c r="BO60" s="57" t="s">
        <v>1281</v>
      </c>
      <c r="BP60" s="57" t="s">
        <v>1281</v>
      </c>
      <c r="BQ60" s="57" t="s">
        <v>1281</v>
      </c>
      <c r="BR60" s="57" t="s">
        <v>1281</v>
      </c>
      <c r="BS60" s="57" t="s">
        <v>1281</v>
      </c>
      <c r="BT60" s="57" t="s">
        <v>1281</v>
      </c>
      <c r="BU60" s="57" t="s">
        <v>1281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1451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1368</v>
      </c>
      <c r="BF61" s="118">
        <v>2</v>
      </c>
      <c r="BG61" s="49" t="s">
        <v>1</v>
      </c>
      <c r="BH61" s="49" t="s">
        <v>1</v>
      </c>
      <c r="BI61" s="1"/>
      <c r="BJ61" s="70" t="s">
        <v>1281</v>
      </c>
      <c r="BK61" s="57" t="s">
        <v>1281</v>
      </c>
      <c r="BL61" s="57" t="s">
        <v>1281</v>
      </c>
      <c r="BM61" s="57" t="s">
        <v>1281</v>
      </c>
      <c r="BN61" s="57" t="s">
        <v>1281</v>
      </c>
      <c r="BO61" s="57" t="s">
        <v>1281</v>
      </c>
      <c r="BP61" s="57" t="s">
        <v>1281</v>
      </c>
      <c r="BQ61" s="57" t="s">
        <v>1281</v>
      </c>
      <c r="BR61" s="57" t="s">
        <v>1281</v>
      </c>
      <c r="BS61" s="57" t="s">
        <v>1281</v>
      </c>
      <c r="BT61" s="57" t="s">
        <v>1281</v>
      </c>
      <c r="BU61" s="57" t="s">
        <v>1281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1452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1368</v>
      </c>
      <c r="BF62" s="118">
        <v>1.9</v>
      </c>
      <c r="BG62" s="49" t="s">
        <v>1</v>
      </c>
      <c r="BH62" s="49" t="s">
        <v>1</v>
      </c>
      <c r="BI62" s="1"/>
      <c r="BJ62" s="70" t="s">
        <v>1281</v>
      </c>
      <c r="BK62" s="57" t="s">
        <v>1281</v>
      </c>
      <c r="BL62" s="57" t="s">
        <v>1281</v>
      </c>
      <c r="BM62" s="57" t="s">
        <v>1281</v>
      </c>
      <c r="BN62" s="57" t="s">
        <v>1281</v>
      </c>
      <c r="BO62" s="57" t="s">
        <v>1281</v>
      </c>
      <c r="BP62" s="57" t="s">
        <v>1281</v>
      </c>
      <c r="BQ62" s="57" t="s">
        <v>1281</v>
      </c>
      <c r="BR62" s="57" t="s">
        <v>1281</v>
      </c>
      <c r="BS62" s="57" t="s">
        <v>1281</v>
      </c>
      <c r="BT62" s="57" t="s">
        <v>1281</v>
      </c>
      <c r="BU62" s="57" t="s">
        <v>1281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1453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1368</v>
      </c>
      <c r="BF63" s="118">
        <v>2.1</v>
      </c>
      <c r="BG63" s="49" t="s">
        <v>1</v>
      </c>
      <c r="BH63" s="49" t="s">
        <v>1</v>
      </c>
      <c r="BI63" s="1"/>
      <c r="BJ63" s="70" t="s">
        <v>1281</v>
      </c>
      <c r="BK63" s="57" t="s">
        <v>1281</v>
      </c>
      <c r="BL63" s="57" t="s">
        <v>1281</v>
      </c>
      <c r="BM63" s="57" t="s">
        <v>1281</v>
      </c>
      <c r="BN63" s="57" t="s">
        <v>1281</v>
      </c>
      <c r="BO63" s="57" t="s">
        <v>1281</v>
      </c>
      <c r="BP63" s="57" t="s">
        <v>1281</v>
      </c>
      <c r="BQ63" s="57" t="s">
        <v>1281</v>
      </c>
      <c r="BR63" s="57" t="s">
        <v>1281</v>
      </c>
      <c r="BS63" s="57" t="s">
        <v>1281</v>
      </c>
      <c r="BT63" s="57" t="s">
        <v>1281</v>
      </c>
      <c r="BU63" s="57" t="s">
        <v>1281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1454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1368</v>
      </c>
      <c r="BF64" s="118">
        <v>2</v>
      </c>
      <c r="BG64" s="49" t="s">
        <v>1</v>
      </c>
      <c r="BH64" s="49" t="s">
        <v>1</v>
      </c>
      <c r="BI64" s="1"/>
      <c r="BJ64" s="70" t="s">
        <v>1281</v>
      </c>
      <c r="BK64" s="57" t="s">
        <v>1281</v>
      </c>
      <c r="BL64" s="57" t="s">
        <v>1281</v>
      </c>
      <c r="BM64" s="57" t="s">
        <v>1281</v>
      </c>
      <c r="BN64" s="57" t="s">
        <v>1281</v>
      </c>
      <c r="BO64" s="57" t="s">
        <v>1281</v>
      </c>
      <c r="BP64" s="57" t="s">
        <v>1281</v>
      </c>
      <c r="BQ64" s="57" t="s">
        <v>1281</v>
      </c>
      <c r="BR64" s="57" t="s">
        <v>1281</v>
      </c>
      <c r="BS64" s="57" t="s">
        <v>1281</v>
      </c>
      <c r="BT64" s="57" t="s">
        <v>1281</v>
      </c>
      <c r="BU64" s="57" t="s">
        <v>1281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1455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1368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1281</v>
      </c>
      <c r="BK65" s="57" t="s">
        <v>1281</v>
      </c>
      <c r="BL65" s="57" t="s">
        <v>1281</v>
      </c>
      <c r="BM65" s="57" t="s">
        <v>1281</v>
      </c>
      <c r="BN65" s="57" t="s">
        <v>1281</v>
      </c>
      <c r="BO65" s="57" t="s">
        <v>1281</v>
      </c>
      <c r="BP65" s="57" t="s">
        <v>1281</v>
      </c>
      <c r="BQ65" s="57" t="s">
        <v>1281</v>
      </c>
      <c r="BR65" s="57" t="s">
        <v>1281</v>
      </c>
      <c r="BS65" s="57" t="s">
        <v>1281</v>
      </c>
      <c r="BT65" s="57" t="s">
        <v>1281</v>
      </c>
      <c r="BU65" s="57" t="s">
        <v>1281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1464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1465</v>
      </c>
      <c r="BF66" s="118">
        <v>2.6</v>
      </c>
      <c r="BG66" s="49" t="s">
        <v>1</v>
      </c>
      <c r="BH66" s="49" t="s">
        <v>1</v>
      </c>
      <c r="BI66" s="1"/>
      <c r="BJ66" s="70" t="s">
        <v>1281</v>
      </c>
      <c r="BK66" s="57" t="s">
        <v>1281</v>
      </c>
      <c r="BL66" s="57" t="s">
        <v>1281</v>
      </c>
      <c r="BM66" s="57" t="s">
        <v>1281</v>
      </c>
      <c r="BN66" s="57" t="s">
        <v>1281</v>
      </c>
      <c r="BO66" s="57" t="s">
        <v>1281</v>
      </c>
      <c r="BP66" s="57" t="s">
        <v>1281</v>
      </c>
      <c r="BQ66" s="57" t="s">
        <v>1281</v>
      </c>
      <c r="BR66" s="57" t="s">
        <v>1281</v>
      </c>
      <c r="BS66" s="57" t="s">
        <v>1281</v>
      </c>
      <c r="BT66" s="57" t="s">
        <v>1281</v>
      </c>
      <c r="BU66" s="57" t="s">
        <v>1281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1465</v>
      </c>
      <c r="BF67" s="118">
        <v>2.9</v>
      </c>
      <c r="BG67" s="49" t="s">
        <v>1</v>
      </c>
      <c r="BH67" s="49" t="s">
        <v>1</v>
      </c>
      <c r="BI67" s="1"/>
      <c r="BJ67" s="70" t="s">
        <v>1281</v>
      </c>
      <c r="BK67" s="57" t="s">
        <v>1281</v>
      </c>
      <c r="BL67" s="57" t="s">
        <v>1281</v>
      </c>
      <c r="BM67" s="57" t="s">
        <v>1281</v>
      </c>
      <c r="BN67" s="57" t="s">
        <v>1281</v>
      </c>
      <c r="BO67" s="57" t="s">
        <v>1281</v>
      </c>
      <c r="BP67" s="57" t="s">
        <v>1281</v>
      </c>
      <c r="BQ67" s="57" t="s">
        <v>1281</v>
      </c>
      <c r="BR67" s="57" t="s">
        <v>1281</v>
      </c>
      <c r="BS67" s="57" t="s">
        <v>1281</v>
      </c>
      <c r="BT67" s="57" t="s">
        <v>1281</v>
      </c>
      <c r="BU67" s="57" t="s">
        <v>1281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1486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1285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1281</v>
      </c>
      <c r="BK68" s="57" t="s">
        <v>1281</v>
      </c>
      <c r="BL68" s="57" t="s">
        <v>1281</v>
      </c>
      <c r="BM68" s="57" t="s">
        <v>1281</v>
      </c>
      <c r="BN68" s="57" t="s">
        <v>1281</v>
      </c>
      <c r="BO68" s="57" t="s">
        <v>1281</v>
      </c>
      <c r="BP68" s="57" t="s">
        <v>1281</v>
      </c>
      <c r="BQ68" s="57" t="s">
        <v>1281</v>
      </c>
      <c r="BR68" s="57" t="s">
        <v>1281</v>
      </c>
      <c r="BS68" s="57" t="s">
        <v>1281</v>
      </c>
      <c r="BT68" s="57" t="s">
        <v>1281</v>
      </c>
      <c r="BU68" s="57" t="s">
        <v>1281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1566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1368</v>
      </c>
      <c r="BF69" s="119">
        <v>4.2</v>
      </c>
      <c r="BG69" s="51" t="s">
        <v>1</v>
      </c>
      <c r="BH69" s="51" t="s">
        <v>1</v>
      </c>
      <c r="BJ69" s="111" t="s">
        <v>1281</v>
      </c>
      <c r="BK69" s="112" t="s">
        <v>1281</v>
      </c>
      <c r="BL69" s="112" t="s">
        <v>1281</v>
      </c>
      <c r="BM69" s="112" t="s">
        <v>1281</v>
      </c>
      <c r="BN69" s="112" t="s">
        <v>1281</v>
      </c>
      <c r="BO69" s="112" t="s">
        <v>1281</v>
      </c>
      <c r="BP69" s="112" t="s">
        <v>1281</v>
      </c>
      <c r="BQ69" s="112" t="s">
        <v>1281</v>
      </c>
      <c r="BR69" s="112" t="s">
        <v>1281</v>
      </c>
      <c r="BS69" s="112" t="s">
        <v>1281</v>
      </c>
      <c r="BT69" s="112" t="s">
        <v>1281</v>
      </c>
      <c r="BU69" s="112" t="s">
        <v>1281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1576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1368</v>
      </c>
      <c r="BF70" s="119">
        <v>2</v>
      </c>
      <c r="BG70" s="51" t="s">
        <v>1</v>
      </c>
      <c r="BH70" s="51" t="s">
        <v>1</v>
      </c>
      <c r="BJ70" s="111" t="s">
        <v>1281</v>
      </c>
      <c r="BK70" s="112" t="s">
        <v>1281</v>
      </c>
      <c r="BL70" s="112" t="s">
        <v>1281</v>
      </c>
      <c r="BM70" s="112" t="s">
        <v>1281</v>
      </c>
      <c r="BN70" s="112" t="s">
        <v>1281</v>
      </c>
      <c r="BO70" s="112" t="s">
        <v>1281</v>
      </c>
      <c r="BP70" s="112" t="s">
        <v>1281</v>
      </c>
      <c r="BQ70" s="112" t="s">
        <v>1281</v>
      </c>
      <c r="BR70" s="112" t="s">
        <v>1281</v>
      </c>
      <c r="BS70" s="112" t="s">
        <v>1281</v>
      </c>
      <c r="BT70" s="112" t="s">
        <v>1281</v>
      </c>
      <c r="BU70" s="112" t="s">
        <v>1281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1583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1368</v>
      </c>
      <c r="BF71" s="119">
        <v>2</v>
      </c>
      <c r="BG71" s="51" t="s">
        <v>1</v>
      </c>
      <c r="BH71" s="51" t="s">
        <v>1</v>
      </c>
      <c r="BJ71" s="111" t="s">
        <v>1281</v>
      </c>
      <c r="BK71" s="112" t="s">
        <v>1281</v>
      </c>
      <c r="BL71" s="112" t="s">
        <v>1281</v>
      </c>
      <c r="BM71" s="112" t="s">
        <v>1281</v>
      </c>
      <c r="BN71" s="112" t="s">
        <v>1281</v>
      </c>
      <c r="BO71" s="112" t="s">
        <v>1281</v>
      </c>
      <c r="BP71" s="112" t="s">
        <v>1281</v>
      </c>
      <c r="BQ71" s="112" t="s">
        <v>1281</v>
      </c>
      <c r="BR71" s="112" t="s">
        <v>1281</v>
      </c>
      <c r="BS71" s="112" t="s">
        <v>1281</v>
      </c>
      <c r="BT71" s="112" t="s">
        <v>1281</v>
      </c>
      <c r="BU71" s="112" t="s">
        <v>1281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1597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1368</v>
      </c>
      <c r="BF72" s="119">
        <v>2.25</v>
      </c>
      <c r="BG72" s="51" t="s">
        <v>1</v>
      </c>
      <c r="BH72" s="51" t="s">
        <v>1</v>
      </c>
      <c r="BJ72" s="111" t="s">
        <v>1281</v>
      </c>
      <c r="BK72" s="112" t="s">
        <v>1281</v>
      </c>
      <c r="BL72" s="112" t="s">
        <v>1281</v>
      </c>
      <c r="BM72" s="112" t="s">
        <v>1281</v>
      </c>
      <c r="BN72" s="112" t="s">
        <v>1281</v>
      </c>
      <c r="BO72" s="112" t="s">
        <v>1281</v>
      </c>
      <c r="BP72" s="112" t="s">
        <v>1281</v>
      </c>
      <c r="BQ72" s="112" t="s">
        <v>1281</v>
      </c>
      <c r="BR72" s="112" t="s">
        <v>1281</v>
      </c>
      <c r="BS72" s="112" t="s">
        <v>1281</v>
      </c>
      <c r="BT72" s="112" t="s">
        <v>1281</v>
      </c>
      <c r="BU72" s="112" t="s">
        <v>1281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1609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1368</v>
      </c>
      <c r="BF73" s="119">
        <v>1.85</v>
      </c>
      <c r="BG73" s="51" t="s">
        <v>1</v>
      </c>
      <c r="BH73" s="51" t="s">
        <v>1</v>
      </c>
      <c r="BJ73" s="111" t="s">
        <v>1281</v>
      </c>
      <c r="BK73" s="112" t="s">
        <v>1281</v>
      </c>
      <c r="BL73" s="112" t="s">
        <v>1281</v>
      </c>
      <c r="BM73" s="112" t="s">
        <v>1281</v>
      </c>
      <c r="BN73" s="112" t="s">
        <v>1281</v>
      </c>
      <c r="BO73" s="112" t="s">
        <v>1281</v>
      </c>
      <c r="BP73" s="112" t="s">
        <v>1281</v>
      </c>
      <c r="BQ73" s="112" t="s">
        <v>1281</v>
      </c>
      <c r="BR73" s="112" t="s">
        <v>1281</v>
      </c>
      <c r="BS73" s="112" t="s">
        <v>1281</v>
      </c>
      <c r="BT73" s="112" t="s">
        <v>1281</v>
      </c>
      <c r="BU73" s="112" t="s">
        <v>1281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1366</v>
      </c>
      <c r="BH74" s="49" t="s">
        <v>1371</v>
      </c>
      <c r="BI74" s="1"/>
      <c r="BJ74" s="70" t="s">
        <v>1281</v>
      </c>
      <c r="BK74" s="57" t="s">
        <v>1281</v>
      </c>
      <c r="BL74" s="57" t="s">
        <v>1281</v>
      </c>
      <c r="BM74" s="57" t="s">
        <v>1281</v>
      </c>
      <c r="BN74" s="57" t="s">
        <v>1281</v>
      </c>
      <c r="BO74" s="57" t="s">
        <v>1281</v>
      </c>
      <c r="BP74" s="57" t="s">
        <v>1281</v>
      </c>
      <c r="BQ74" s="57" t="s">
        <v>1281</v>
      </c>
      <c r="BR74" s="57" t="s">
        <v>1281</v>
      </c>
      <c r="BS74" s="57" t="s">
        <v>1281</v>
      </c>
      <c r="BT74" s="57" t="s">
        <v>1281</v>
      </c>
      <c r="BU74" s="57" t="s">
        <v>1281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1370</v>
      </c>
      <c r="BE75" s="3" t="s">
        <v>1368</v>
      </c>
      <c r="BF75" s="118">
        <v>2.7</v>
      </c>
      <c r="BG75" s="49" t="s">
        <v>1371</v>
      </c>
      <c r="BH75" s="49" t="s">
        <v>1371</v>
      </c>
      <c r="BI75" s="1"/>
      <c r="BJ75" s="70" t="s">
        <v>1281</v>
      </c>
      <c r="BK75" s="57" t="s">
        <v>1281</v>
      </c>
      <c r="BL75" s="57" t="s">
        <v>1281</v>
      </c>
      <c r="BM75" s="57" t="s">
        <v>1281</v>
      </c>
      <c r="BN75" s="57" t="s">
        <v>1281</v>
      </c>
      <c r="BO75" s="57" t="s">
        <v>1281</v>
      </c>
      <c r="BP75" s="57" t="s">
        <v>1281</v>
      </c>
      <c r="BQ75" s="57" t="s">
        <v>1281</v>
      </c>
      <c r="BR75" s="57" t="s">
        <v>1281</v>
      </c>
      <c r="BS75" s="57" t="s">
        <v>1281</v>
      </c>
      <c r="BT75" s="57" t="s">
        <v>1281</v>
      </c>
      <c r="BU75" s="57" t="s">
        <v>1281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1571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1369</v>
      </c>
      <c r="BE76" s="9" t="s">
        <v>1285</v>
      </c>
      <c r="BF76" s="119">
        <v>3.3</v>
      </c>
      <c r="BG76" s="51" t="s">
        <v>1416</v>
      </c>
      <c r="BH76" s="51" t="s">
        <v>1416</v>
      </c>
      <c r="BJ76" s="111" t="s">
        <v>1281</v>
      </c>
      <c r="BK76" s="112" t="s">
        <v>1281</v>
      </c>
      <c r="BL76" s="112" t="s">
        <v>1281</v>
      </c>
      <c r="BM76" s="112" t="s">
        <v>1281</v>
      </c>
      <c r="BN76" s="112" t="s">
        <v>1281</v>
      </c>
      <c r="BO76" s="112" t="s">
        <v>1281</v>
      </c>
      <c r="BP76" s="112" t="s">
        <v>1281</v>
      </c>
      <c r="BQ76" s="112" t="s">
        <v>1281</v>
      </c>
      <c r="BR76" s="112" t="s">
        <v>1281</v>
      </c>
      <c r="BS76" s="112" t="s">
        <v>1281</v>
      </c>
      <c r="BT76" s="112" t="s">
        <v>1281</v>
      </c>
      <c r="BU76" s="112" t="s">
        <v>1281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1366</v>
      </c>
      <c r="BH77" s="49" t="s">
        <v>1371</v>
      </c>
      <c r="BI77" s="1"/>
      <c r="BJ77" s="70" t="s">
        <v>1281</v>
      </c>
      <c r="BK77" s="57" t="s">
        <v>1281</v>
      </c>
      <c r="BL77" s="57" t="s">
        <v>1281</v>
      </c>
      <c r="BM77" s="57" t="s">
        <v>1281</v>
      </c>
      <c r="BN77" s="57" t="s">
        <v>1281</v>
      </c>
      <c r="BO77" s="57" t="s">
        <v>1281</v>
      </c>
      <c r="BP77" s="57" t="s">
        <v>1281</v>
      </c>
      <c r="BQ77" s="57" t="s">
        <v>1281</v>
      </c>
      <c r="BR77" s="57" t="s">
        <v>1281</v>
      </c>
      <c r="BS77" s="57" t="s">
        <v>1281</v>
      </c>
      <c r="BT77" s="57" t="s">
        <v>1281</v>
      </c>
      <c r="BU77" s="57" t="s">
        <v>1281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6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6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1368</v>
      </c>
      <c r="BF78" s="118">
        <v>3</v>
      </c>
      <c r="BG78" s="49" t="s">
        <v>1371</v>
      </c>
      <c r="BH78" s="49" t="s">
        <v>1371</v>
      </c>
      <c r="BI78" s="1"/>
      <c r="BJ78" s="70" t="s">
        <v>1281</v>
      </c>
      <c r="BK78" s="57" t="s">
        <v>1281</v>
      </c>
      <c r="BL78" s="57" t="s">
        <v>1281</v>
      </c>
      <c r="BM78" s="57" t="s">
        <v>1281</v>
      </c>
      <c r="BN78" s="57" t="s">
        <v>1281</v>
      </c>
      <c r="BO78" s="57" t="s">
        <v>1281</v>
      </c>
      <c r="BP78" s="57" t="s">
        <v>1281</v>
      </c>
      <c r="BQ78" s="57" t="s">
        <v>1281</v>
      </c>
      <c r="BR78" s="57" t="s">
        <v>1281</v>
      </c>
      <c r="BS78" s="57" t="s">
        <v>1281</v>
      </c>
      <c r="BT78" s="57" t="s">
        <v>1281</v>
      </c>
      <c r="BU78" s="57" t="s">
        <v>1281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1285</v>
      </c>
      <c r="BF79" s="118">
        <v>3.5</v>
      </c>
      <c r="BG79" s="49" t="s">
        <v>1371</v>
      </c>
      <c r="BH79" s="49" t="s">
        <v>1371</v>
      </c>
      <c r="BI79" s="1"/>
      <c r="BJ79" s="70" t="s">
        <v>1281</v>
      </c>
      <c r="BK79" s="57" t="s">
        <v>1281</v>
      </c>
      <c r="BL79" s="57" t="s">
        <v>1281</v>
      </c>
      <c r="BM79" s="57" t="s">
        <v>1281</v>
      </c>
      <c r="BN79" s="57" t="s">
        <v>1281</v>
      </c>
      <c r="BO79" s="57" t="s">
        <v>1281</v>
      </c>
      <c r="BP79" s="57" t="s">
        <v>1281</v>
      </c>
      <c r="BQ79" s="57" t="s">
        <v>1281</v>
      </c>
      <c r="BR79" s="57" t="s">
        <v>1281</v>
      </c>
      <c r="BS79" s="57" t="s">
        <v>1281</v>
      </c>
      <c r="BT79" s="57" t="s">
        <v>1281</v>
      </c>
      <c r="BU79" s="57" t="s">
        <v>1281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1369</v>
      </c>
      <c r="BE80" s="3" t="s">
        <v>1285</v>
      </c>
      <c r="BF80" s="118">
        <v>3.7</v>
      </c>
      <c r="BG80" s="49" t="s">
        <v>1371</v>
      </c>
      <c r="BH80" s="49" t="s">
        <v>1371</v>
      </c>
      <c r="BI80" s="1"/>
      <c r="BJ80" s="70" t="s">
        <v>1281</v>
      </c>
      <c r="BK80" s="57" t="s">
        <v>1281</v>
      </c>
      <c r="BL80" s="57" t="s">
        <v>1281</v>
      </c>
      <c r="BM80" s="57" t="s">
        <v>1281</v>
      </c>
      <c r="BN80" s="57" t="s">
        <v>1281</v>
      </c>
      <c r="BO80" s="57" t="s">
        <v>1281</v>
      </c>
      <c r="BP80" s="57" t="s">
        <v>1281</v>
      </c>
      <c r="BQ80" s="57" t="s">
        <v>1281</v>
      </c>
      <c r="BR80" s="57" t="s">
        <v>1281</v>
      </c>
      <c r="BS80" s="57" t="s">
        <v>1281</v>
      </c>
      <c r="BT80" s="57" t="s">
        <v>1281</v>
      </c>
      <c r="BU80" s="57" t="s">
        <v>1281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1524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1370</v>
      </c>
      <c r="BE81" s="3" t="s">
        <v>1368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1281</v>
      </c>
      <c r="BK81" s="57" t="s">
        <v>1281</v>
      </c>
      <c r="BL81" s="57" t="s">
        <v>1281</v>
      </c>
      <c r="BM81" s="57" t="s">
        <v>1281</v>
      </c>
      <c r="BN81" s="57" t="s">
        <v>1281</v>
      </c>
      <c r="BO81" s="57" t="s">
        <v>1281</v>
      </c>
      <c r="BP81" s="57" t="s">
        <v>1281</v>
      </c>
      <c r="BQ81" s="57" t="s">
        <v>1281</v>
      </c>
      <c r="BR81" s="57" t="s">
        <v>1281</v>
      </c>
      <c r="BS81" s="57" t="s">
        <v>1281</v>
      </c>
      <c r="BT81" s="57" t="s">
        <v>1281</v>
      </c>
      <c r="BU81" s="57" t="s">
        <v>1281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1525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1368</v>
      </c>
      <c r="BF82" s="118">
        <v>2.95</v>
      </c>
      <c r="BG82" s="49" t="s">
        <v>1</v>
      </c>
      <c r="BH82" s="49" t="s">
        <v>1</v>
      </c>
      <c r="BI82" s="1"/>
      <c r="BJ82" s="70" t="s">
        <v>1281</v>
      </c>
      <c r="BK82" s="57" t="s">
        <v>1281</v>
      </c>
      <c r="BL82" s="57" t="s">
        <v>1281</v>
      </c>
      <c r="BM82" s="57" t="s">
        <v>1281</v>
      </c>
      <c r="BN82" s="57" t="s">
        <v>1281</v>
      </c>
      <c r="BO82" s="57" t="s">
        <v>1281</v>
      </c>
      <c r="BP82" s="57" t="s">
        <v>1281</v>
      </c>
      <c r="BQ82" s="57" t="s">
        <v>1281</v>
      </c>
      <c r="BR82" s="57" t="s">
        <v>1281</v>
      </c>
      <c r="BS82" s="57" t="s">
        <v>1281</v>
      </c>
      <c r="BT82" s="57" t="s">
        <v>1281</v>
      </c>
      <c r="BU82" s="57" t="s">
        <v>1281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1526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1368</v>
      </c>
      <c r="BF83" s="118">
        <v>3</v>
      </c>
      <c r="BG83" s="49" t="s">
        <v>1</v>
      </c>
      <c r="BH83" s="49" t="s">
        <v>1</v>
      </c>
      <c r="BI83" s="1"/>
      <c r="BJ83" s="70" t="s">
        <v>1281</v>
      </c>
      <c r="BK83" s="57" t="s">
        <v>1281</v>
      </c>
      <c r="BL83" s="57" t="s">
        <v>1281</v>
      </c>
      <c r="BM83" s="57" t="s">
        <v>1281</v>
      </c>
      <c r="BN83" s="57" t="s">
        <v>1281</v>
      </c>
      <c r="BO83" s="57" t="s">
        <v>1281</v>
      </c>
      <c r="BP83" s="57" t="s">
        <v>1281</v>
      </c>
      <c r="BQ83" s="57" t="s">
        <v>1281</v>
      </c>
      <c r="BR83" s="57" t="s">
        <v>1281</v>
      </c>
      <c r="BS83" s="57" t="s">
        <v>1281</v>
      </c>
      <c r="BT83" s="57" t="s">
        <v>1281</v>
      </c>
      <c r="BU83" s="57" t="s">
        <v>1281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1527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1368</v>
      </c>
      <c r="BF84" s="118">
        <v>2.6</v>
      </c>
      <c r="BG84" s="49" t="s">
        <v>1</v>
      </c>
      <c r="BH84" s="49" t="s">
        <v>1</v>
      </c>
      <c r="BI84" s="1"/>
      <c r="BJ84" s="70" t="s">
        <v>1281</v>
      </c>
      <c r="BK84" s="57" t="s">
        <v>1281</v>
      </c>
      <c r="BL84" s="57" t="s">
        <v>1281</v>
      </c>
      <c r="BM84" s="57" t="s">
        <v>1281</v>
      </c>
      <c r="BN84" s="57" t="s">
        <v>1281</v>
      </c>
      <c r="BO84" s="57" t="s">
        <v>1281</v>
      </c>
      <c r="BP84" s="57" t="s">
        <v>1281</v>
      </c>
      <c r="BQ84" s="57" t="s">
        <v>1281</v>
      </c>
      <c r="BR84" s="57" t="s">
        <v>1281</v>
      </c>
      <c r="BS84" s="57" t="s">
        <v>1281</v>
      </c>
      <c r="BT84" s="57" t="s">
        <v>1281</v>
      </c>
      <c r="BU84" s="57" t="s">
        <v>1281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1528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1368</v>
      </c>
      <c r="BF85" s="118">
        <v>2.5</v>
      </c>
      <c r="BG85" s="49" t="s">
        <v>1</v>
      </c>
      <c r="BH85" s="49" t="s">
        <v>1</v>
      </c>
      <c r="BI85" s="1"/>
      <c r="BJ85" s="70" t="s">
        <v>1281</v>
      </c>
      <c r="BK85" s="57" t="s">
        <v>1281</v>
      </c>
      <c r="BL85" s="57" t="s">
        <v>1281</v>
      </c>
      <c r="BM85" s="57" t="s">
        <v>1281</v>
      </c>
      <c r="BN85" s="57" t="s">
        <v>1281</v>
      </c>
      <c r="BO85" s="57" t="s">
        <v>1281</v>
      </c>
      <c r="BP85" s="57" t="s">
        <v>1281</v>
      </c>
      <c r="BQ85" s="57" t="s">
        <v>1281</v>
      </c>
      <c r="BR85" s="57" t="s">
        <v>1281</v>
      </c>
      <c r="BS85" s="57" t="s">
        <v>1281</v>
      </c>
      <c r="BT85" s="57" t="s">
        <v>1281</v>
      </c>
      <c r="BU85" s="57" t="s">
        <v>1281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acm2_human_6OIK</v>
      </c>
      <c r="B86" s="3" t="s">
        <v>147</v>
      </c>
      <c r="C86" s="3" t="s">
        <v>1572</v>
      </c>
      <c r="D86" s="3" t="str">
        <f>IFERROR(MID(VLOOKUP($B86,Seqs!$A:$B,2,0),E86,1),"")</f>
        <v>T</v>
      </c>
      <c r="E86" s="3">
        <v>20</v>
      </c>
      <c r="F86" s="3" t="str">
        <f>IFERROR(MID(VLOOKUP($B86,Seqs!$A:$B,2,0),G86,1),"")</f>
        <v>V</v>
      </c>
      <c r="G86" s="3">
        <v>50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A</v>
      </c>
      <c r="AK86" s="3">
        <v>184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N</v>
      </c>
      <c r="AS86" s="3">
        <v>419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L</v>
      </c>
      <c r="AY86" s="3">
        <v>454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245</v>
      </c>
      <c r="BD86" s="4" t="s">
        <v>23</v>
      </c>
      <c r="BE86" s="3" t="s">
        <v>1285</v>
      </c>
      <c r="BF86" s="118">
        <v>3.6</v>
      </c>
      <c r="BG86" s="49" t="s">
        <v>1416</v>
      </c>
      <c r="BH86" s="49" t="s">
        <v>1416</v>
      </c>
      <c r="BI86" s="1"/>
      <c r="BJ86" s="70" t="s">
        <v>1281</v>
      </c>
      <c r="BK86" s="57" t="s">
        <v>1281</v>
      </c>
      <c r="BL86" s="57" t="s">
        <v>1281</v>
      </c>
      <c r="BM86" s="57" t="s">
        <v>1281</v>
      </c>
      <c r="BN86" s="57" t="s">
        <v>1281</v>
      </c>
      <c r="BO86" s="57" t="s">
        <v>1281</v>
      </c>
      <c r="BP86" s="57" t="s">
        <v>1281</v>
      </c>
      <c r="BQ86" s="57" t="s">
        <v>1281</v>
      </c>
      <c r="BR86" s="57" t="s">
        <v>1281</v>
      </c>
      <c r="BS86" s="57" t="s">
        <v>1281</v>
      </c>
      <c r="BT86" s="57" t="s">
        <v>1281</v>
      </c>
      <c r="BU86" s="57" t="s">
        <v>1281</v>
      </c>
      <c r="BV86" s="70">
        <f t="shared" ref="BV86" si="648">E86</f>
        <v>20</v>
      </c>
      <c r="BW86" s="71" t="str">
        <f t="shared" ref="BW86" si="649">I86</f>
        <v>-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184</v>
      </c>
      <c r="CE86" s="71">
        <f t="shared" ref="CE86" si="657">AO86</f>
        <v>382</v>
      </c>
      <c r="CF86" s="72">
        <f t="shared" ref="CF86" si="658">AS86</f>
        <v>419</v>
      </c>
      <c r="CG86" s="71">
        <f t="shared" ref="CG86" si="659">AW86</f>
        <v>444</v>
      </c>
      <c r="CH86" s="70">
        <f t="shared" ref="CH86" si="660">G86</f>
        <v>50</v>
      </c>
      <c r="CI86" s="71" t="str">
        <f t="shared" ref="CI86" si="661">K86</f>
        <v>-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213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454</v>
      </c>
      <c r="CT86" s="23" t="e">
        <f t="shared" ref="CT86" si="672">M86-K86</f>
        <v>#VALUE!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673">CONCATENATE(B87,"_",C87)</f>
        <v>acm2_human_6U1N</v>
      </c>
      <c r="B87" s="9" t="s">
        <v>147</v>
      </c>
      <c r="C87" s="9" t="s">
        <v>1649</v>
      </c>
      <c r="D87" s="9" t="str">
        <f>IFERROR(MID(VLOOKUP($B87,Seqs!$A:$B,2,0),E87,1),"")</f>
        <v>T</v>
      </c>
      <c r="E87" s="9">
        <v>20</v>
      </c>
      <c r="F87" s="9" t="str">
        <f>IFERROR(MID(VLOOKUP($B87,Seqs!$A:$B,2,0),G87,1),"")</f>
        <v>K</v>
      </c>
      <c r="G87" s="9">
        <v>49</v>
      </c>
      <c r="H87" s="9" t="str">
        <f>IFERROR(MID(VLOOKUP($B87,Seqs!$A:$B,2,0),I87,1),"")</f>
        <v/>
      </c>
      <c r="I87" s="109" t="s">
        <v>23</v>
      </c>
      <c r="J87" s="9" t="str">
        <f>IFERROR(MID(VLOOKUP($B87,Seqs!$A:$B,2,0),K87,1),"")</f>
        <v/>
      </c>
      <c r="K87" s="109" t="s">
        <v>23</v>
      </c>
      <c r="L87" s="9" t="str">
        <f>IFERROR(MID(VLOOKUP($B87,Seqs!$A:$B,2,0),M87,1),"")</f>
        <v>V</v>
      </c>
      <c r="M87" s="9">
        <v>57</v>
      </c>
      <c r="N87" s="9" t="str">
        <f>IFERROR(MID(VLOOKUP($B87,Seqs!$A:$B,2,0),O87,1),"")</f>
        <v>I</v>
      </c>
      <c r="O87" s="9">
        <v>86</v>
      </c>
      <c r="P87" s="9" t="str">
        <f>IFERROR(MID(VLOOKUP($B87,Seqs!$A:$B,2,0),Q87,1),"")</f>
        <v>Y</v>
      </c>
      <c r="Q87" s="9">
        <v>88</v>
      </c>
      <c r="R87" s="9" t="str">
        <f>IFERROR(MID(VLOOKUP($B87,Seqs!$A:$B,2,0),S87,1),"")</f>
        <v>L</v>
      </c>
      <c r="S87" s="9">
        <v>91</v>
      </c>
      <c r="T87" s="9" t="str">
        <f>IFERROR(MID(VLOOKUP($B87,Seqs!$A:$B,2,0),U87,1),"")</f>
        <v>G</v>
      </c>
      <c r="U87" s="9">
        <v>92</v>
      </c>
      <c r="V87" s="9" t="str">
        <f>IFERROR(MID(VLOOKUP($B87,Seqs!$A:$B,2,0),W87,1),"")</f>
        <v>K</v>
      </c>
      <c r="W87" s="9">
        <v>127</v>
      </c>
      <c r="X87" s="9" t="str">
        <f>IFERROR(MID(VLOOKUP($B87,Seqs!$A:$B,2,0),Y87,1),"")</f>
        <v>P</v>
      </c>
      <c r="Y87" s="9">
        <v>128</v>
      </c>
      <c r="Z87" s="9" t="str">
        <f>IFERROR(MID(VLOOKUP($B87,Seqs!$A:$B,2,0),AA87,1),"")</f>
        <v>R</v>
      </c>
      <c r="AA87" s="9">
        <v>135</v>
      </c>
      <c r="AB87" s="9" t="str">
        <f>IFERROR(MID(VLOOKUP($B87,Seqs!$A:$B,2,0),AC87,1),"")</f>
        <v>T</v>
      </c>
      <c r="AC87" s="9">
        <v>136</v>
      </c>
      <c r="AD87" s="9" t="str">
        <f>IFERROR(MID(VLOOKUP($B87,Seqs!$A:$B,2,0),AE87,1),"")</f>
        <v>G</v>
      </c>
      <c r="AE87" s="9">
        <v>167</v>
      </c>
      <c r="AF87" s="9" t="str">
        <f>IFERROR(MID(VLOOKUP($B87,Seqs!$A:$B,2,0),AG87,1),"")</f>
        <v>C</v>
      </c>
      <c r="AG87" s="9">
        <v>176</v>
      </c>
      <c r="AH87" s="9" t="str">
        <f>IFERROR(MID(VLOOKUP($B87,Seqs!$A:$B,2,0),AI87,1),"")</f>
        <v>I</v>
      </c>
      <c r="AI87" s="9">
        <v>178</v>
      </c>
      <c r="AJ87" s="9" t="str">
        <f>IFERROR(MID(VLOOKUP($B87,Seqs!$A:$B,2,0),AK87,1),"")</f>
        <v>N</v>
      </c>
      <c r="AK87" s="9">
        <v>183</v>
      </c>
      <c r="AL87" s="9" t="str">
        <f>IFERROR(MID(VLOOKUP($B87,Seqs!$A:$B,2,0),AM87,1),"")</f>
        <v>S</v>
      </c>
      <c r="AM87" s="9">
        <v>213</v>
      </c>
      <c r="AN87" s="9" t="str">
        <f>IFERROR(MID(VLOOKUP($B87,Seqs!$A:$B,2,0),AO87,1),"")</f>
        <v>E</v>
      </c>
      <c r="AO87" s="9">
        <v>382</v>
      </c>
      <c r="AP87" s="9" t="str">
        <f>IFERROR(MID(VLOOKUP($B87,Seqs!$A:$B,2,0),AQ87,1),"")</f>
        <v>C</v>
      </c>
      <c r="AQ87" s="9">
        <v>413</v>
      </c>
      <c r="AR87" s="9" t="str">
        <f>IFERROR(MID(VLOOKUP($B87,Seqs!$A:$B,2,0),AS87,1),"")</f>
        <v>V</v>
      </c>
      <c r="AS87" s="9">
        <v>421</v>
      </c>
      <c r="AT87" s="9" t="str">
        <f>IFERROR(MID(VLOOKUP($B87,Seqs!$A:$B,2,0),AU87,1),"")</f>
        <v>C</v>
      </c>
      <c r="AU87" s="9">
        <v>443</v>
      </c>
      <c r="AV87" s="9" t="str">
        <f>IFERROR(MID(VLOOKUP($B87,Seqs!$A:$B,2,0),AW87,1),"")</f>
        <v>N</v>
      </c>
      <c r="AW87" s="9">
        <v>444</v>
      </c>
      <c r="AX87" s="9" t="str">
        <f>IFERROR(MID(VLOOKUP($B87,Seqs!$A:$B,2,0),AY87,1),"")</f>
        <v>K</v>
      </c>
      <c r="AY87" s="9">
        <v>452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675">_xlfn.AGGREGATE(9,6,CH87:CS87)-_xlfn.AGGREGATE(9,6,BV87:CG87)+12</f>
        <v>239</v>
      </c>
      <c r="BD87" s="11" t="s">
        <v>1423</v>
      </c>
      <c r="BE87" s="9" t="s">
        <v>1422</v>
      </c>
      <c r="BF87" s="119">
        <v>4</v>
      </c>
      <c r="BG87" s="51" t="s">
        <v>1416</v>
      </c>
      <c r="BH87" s="51" t="s">
        <v>1416</v>
      </c>
      <c r="BJ87" s="111" t="s">
        <v>1281</v>
      </c>
      <c r="BK87" s="112" t="s">
        <v>1281</v>
      </c>
      <c r="BL87" s="112" t="s">
        <v>1281</v>
      </c>
      <c r="BM87" s="112" t="s">
        <v>1281</v>
      </c>
      <c r="BN87" s="112" t="s">
        <v>1281</v>
      </c>
      <c r="BO87" s="112" t="s">
        <v>1281</v>
      </c>
      <c r="BP87" s="112" t="s">
        <v>1281</v>
      </c>
      <c r="BQ87" s="112" t="s">
        <v>1281</v>
      </c>
      <c r="BR87" s="112" t="s">
        <v>1281</v>
      </c>
      <c r="BS87" s="112" t="s">
        <v>1281</v>
      </c>
      <c r="BT87" s="112" t="s">
        <v>1281</v>
      </c>
      <c r="BU87" s="112" t="s">
        <v>1281</v>
      </c>
      <c r="BV87" s="111">
        <f t="shared" ref="BV87" si="676">E87</f>
        <v>20</v>
      </c>
      <c r="BW87" s="113" t="str">
        <f t="shared" ref="BW87" si="677">I87</f>
        <v>-</v>
      </c>
      <c r="BX87" s="114">
        <f t="shared" ref="BX87" si="678">M87</f>
        <v>57</v>
      </c>
      <c r="BY87" s="113">
        <f t="shared" ref="BY87" si="679">Q87</f>
        <v>88</v>
      </c>
      <c r="BZ87" s="114">
        <f t="shared" ref="BZ87" si="680">U87</f>
        <v>92</v>
      </c>
      <c r="CA87" s="113">
        <f t="shared" ref="CA87" si="681">Y87</f>
        <v>128</v>
      </c>
      <c r="CB87" s="114">
        <f t="shared" ref="CB87" si="682">AC87</f>
        <v>136</v>
      </c>
      <c r="CC87" s="113">
        <f t="shared" ref="CC87" si="683">AG87</f>
        <v>176</v>
      </c>
      <c r="CD87" s="114">
        <f t="shared" ref="CD87" si="684">AK87</f>
        <v>183</v>
      </c>
      <c r="CE87" s="113">
        <f t="shared" ref="CE87" si="685">AO87</f>
        <v>382</v>
      </c>
      <c r="CF87" s="114">
        <f t="shared" ref="CF87" si="686">AS87</f>
        <v>421</v>
      </c>
      <c r="CG87" s="113">
        <f t="shared" ref="CG87" si="687">AW87</f>
        <v>444</v>
      </c>
      <c r="CH87" s="111">
        <f t="shared" ref="CH87" si="688">G87</f>
        <v>49</v>
      </c>
      <c r="CI87" s="113" t="str">
        <f t="shared" ref="CI87" si="689">K87</f>
        <v>-</v>
      </c>
      <c r="CJ87" s="114">
        <f t="shared" ref="CJ87" si="690">O87</f>
        <v>86</v>
      </c>
      <c r="CK87" s="114">
        <f t="shared" ref="CK87" si="691">S87</f>
        <v>91</v>
      </c>
      <c r="CL87" s="114">
        <f t="shared" ref="CL87" si="692">W87</f>
        <v>127</v>
      </c>
      <c r="CM87" s="114">
        <f t="shared" ref="CM87" si="693">AA87</f>
        <v>135</v>
      </c>
      <c r="CN87" s="114">
        <f t="shared" ref="CN87" si="694">AE87</f>
        <v>167</v>
      </c>
      <c r="CO87" s="114">
        <f t="shared" ref="CO87" si="695">AI87</f>
        <v>178</v>
      </c>
      <c r="CP87" s="114">
        <f t="shared" ref="CP87" si="696">AM87</f>
        <v>213</v>
      </c>
      <c r="CQ87" s="114">
        <f t="shared" ref="CQ87" si="697">AQ87</f>
        <v>413</v>
      </c>
      <c r="CR87" s="114">
        <f t="shared" ref="CR87" si="698">AU87</f>
        <v>443</v>
      </c>
      <c r="CS87" s="114">
        <f t="shared" ref="CS87" si="699">AY87</f>
        <v>452</v>
      </c>
      <c r="CT87" s="109" t="e">
        <f t="shared" ref="CT87" si="700">M87-K87</f>
        <v>#VALUE!</v>
      </c>
    </row>
    <row r="88" spans="1:1029" x14ac:dyDescent="0.2">
      <c r="A88" s="3" t="str">
        <f t="shared" si="503"/>
        <v>acm3_rat__wt</v>
      </c>
      <c r="B88" s="3" t="s">
        <v>903</v>
      </c>
      <c r="C88" s="3" t="s">
        <v>100</v>
      </c>
      <c r="D88" s="3" t="str">
        <f>IFERROR(MID(VLOOKUP($B88,Seqs!$A:$B,2,0),E88,1),"")</f>
        <v>T</v>
      </c>
      <c r="E88" s="105">
        <v>63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3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L</v>
      </c>
      <c r="AM88" s="3">
        <v>267</v>
      </c>
      <c r="AN88" s="3" t="str">
        <f>IFERROR(MID(VLOOKUP($B88,Seqs!$A:$B,2,0),AO88,1),"")</f>
        <v>R</v>
      </c>
      <c r="AO88" s="3">
        <v>479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C</v>
      </c>
      <c r="AY88" s="3">
        <v>560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270</v>
      </c>
      <c r="BD88" s="56" t="s">
        <v>23</v>
      </c>
      <c r="BE88" s="3" t="s">
        <v>23</v>
      </c>
      <c r="BF88" s="118" t="s">
        <v>23</v>
      </c>
      <c r="BG88" s="49" t="s">
        <v>1366</v>
      </c>
      <c r="BH88" s="49" t="s">
        <v>1371</v>
      </c>
      <c r="BI88" s="1"/>
      <c r="BJ88" s="70" t="s">
        <v>1281</v>
      </c>
      <c r="BK88" s="57" t="s">
        <v>1281</v>
      </c>
      <c r="BL88" s="57" t="s">
        <v>1281</v>
      </c>
      <c r="BM88" s="57" t="s">
        <v>1281</v>
      </c>
      <c r="BN88" s="57" t="s">
        <v>1281</v>
      </c>
      <c r="BO88" s="57" t="s">
        <v>1281</v>
      </c>
      <c r="BP88" s="57" t="s">
        <v>1281</v>
      </c>
      <c r="BQ88" s="57" t="s">
        <v>1281</v>
      </c>
      <c r="BR88" s="57" t="s">
        <v>1281</v>
      </c>
      <c r="BS88" s="57" t="s">
        <v>1281</v>
      </c>
      <c r="BT88" s="57" t="s">
        <v>1281</v>
      </c>
      <c r="BU88" s="57" t="s">
        <v>1281</v>
      </c>
      <c r="BV88" s="70">
        <f t="shared" si="226"/>
        <v>63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479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267</v>
      </c>
      <c r="CQ88" s="72">
        <f t="shared" si="247"/>
        <v>516</v>
      </c>
      <c r="CR88" s="72">
        <f t="shared" si="248"/>
        <v>546</v>
      </c>
      <c r="CS88" s="72">
        <f t="shared" si="249"/>
        <v>560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acm3_rat_4U15</v>
      </c>
      <c r="B89" s="3" t="s">
        <v>903</v>
      </c>
      <c r="C89" s="3" t="s">
        <v>71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>N</v>
      </c>
      <c r="AW89" s="3">
        <v>547</v>
      </c>
      <c r="AX89" s="3" t="str">
        <f>IFERROR(MID(VLOOKUP($B89,Seqs!$A:$B,2,0),AY89,1),"")</f>
        <v>L</v>
      </c>
      <c r="AY89" s="3">
        <v>558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255</v>
      </c>
      <c r="BD89" s="16" t="s">
        <v>23</v>
      </c>
      <c r="BE89" s="3" t="s">
        <v>1368</v>
      </c>
      <c r="BF89" s="118">
        <v>2.8</v>
      </c>
      <c r="BG89" s="49" t="s">
        <v>1371</v>
      </c>
      <c r="BH89" s="49" t="s">
        <v>1371</v>
      </c>
      <c r="BI89" s="1"/>
      <c r="BJ89" s="70" t="s">
        <v>1281</v>
      </c>
      <c r="BK89" s="57" t="s">
        <v>1281</v>
      </c>
      <c r="BL89" s="57" t="s">
        <v>1281</v>
      </c>
      <c r="BM89" s="57" t="s">
        <v>1281</v>
      </c>
      <c r="BN89" s="57" t="s">
        <v>1281</v>
      </c>
      <c r="BO89" s="57" t="s">
        <v>1281</v>
      </c>
      <c r="BP89" s="57" t="s">
        <v>1281</v>
      </c>
      <c r="BQ89" s="57" t="s">
        <v>1281</v>
      </c>
      <c r="BR89" s="57" t="s">
        <v>1281</v>
      </c>
      <c r="BS89" s="57" t="s">
        <v>1281</v>
      </c>
      <c r="BT89" s="57" t="s">
        <v>1281</v>
      </c>
      <c r="BU89" s="57" t="s">
        <v>1281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>
        <f t="shared" si="237"/>
        <v>547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>
        <f t="shared" si="249"/>
        <v>558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03"/>
        <v>acm3_rat_4U16</v>
      </c>
      <c r="B90" s="3" t="s">
        <v>903</v>
      </c>
      <c r="C90" s="3" t="s">
        <v>1047</v>
      </c>
      <c r="D90" s="3" t="str">
        <f>IFERROR(MID(VLOOKUP($B90,Seqs!$A:$B,2,0),E90,1),"")</f>
        <v>I</v>
      </c>
      <c r="E90" s="3">
        <v>64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9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K</v>
      </c>
      <c r="AM90" s="3">
        <v>259</v>
      </c>
      <c r="AN90" s="3" t="str">
        <f>IFERROR(MID(VLOOKUP($B90,Seqs!$A:$B,2,0),AO90,1),"")</f>
        <v>I</v>
      </c>
      <c r="AO90" s="3">
        <v>483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/>
      </c>
      <c r="AW90" s="3" t="s">
        <v>23</v>
      </c>
      <c r="AX90" s="3" t="str">
        <f>IFERROR(MID(VLOOKUP($B90,Seqs!$A:$B,2,0),AY90,1),"")</f>
        <v/>
      </c>
      <c r="AY90" s="3" t="s">
        <v>23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04"/>
        <v>1</v>
      </c>
      <c r="BC90" s="23">
        <f t="shared" si="225"/>
        <v>244</v>
      </c>
      <c r="BD90" s="4" t="s">
        <v>23</v>
      </c>
      <c r="BE90" s="3" t="s">
        <v>1368</v>
      </c>
      <c r="BF90" s="118">
        <v>3.7</v>
      </c>
      <c r="BG90" s="49" t="s">
        <v>1371</v>
      </c>
      <c r="BH90" s="49" t="s">
        <v>1371</v>
      </c>
      <c r="BI90" s="1"/>
      <c r="BJ90" s="70" t="s">
        <v>1281</v>
      </c>
      <c r="BK90" s="57" t="s">
        <v>1281</v>
      </c>
      <c r="BL90" s="57" t="s">
        <v>1281</v>
      </c>
      <c r="BM90" s="57" t="s">
        <v>1281</v>
      </c>
      <c r="BN90" s="57" t="s">
        <v>1281</v>
      </c>
      <c r="BO90" s="57" t="s">
        <v>1281</v>
      </c>
      <c r="BP90" s="57" t="s">
        <v>1281</v>
      </c>
      <c r="BQ90" s="57" t="s">
        <v>1281</v>
      </c>
      <c r="BR90" s="57" t="s">
        <v>1281</v>
      </c>
      <c r="BS90" s="57" t="s">
        <v>1281</v>
      </c>
      <c r="BT90" s="57" t="s">
        <v>1281</v>
      </c>
      <c r="BU90" s="57" t="s">
        <v>1281</v>
      </c>
      <c r="BV90" s="70">
        <f t="shared" si="226"/>
        <v>64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483</v>
      </c>
      <c r="CF90" s="72">
        <f t="shared" si="236"/>
        <v>521</v>
      </c>
      <c r="CG90" s="71" t="str">
        <f t="shared" si="237"/>
        <v>-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259</v>
      </c>
      <c r="CQ90" s="72">
        <f t="shared" si="247"/>
        <v>516</v>
      </c>
      <c r="CR90" s="72">
        <f t="shared" si="248"/>
        <v>546</v>
      </c>
      <c r="CS90" s="72" t="str">
        <f t="shared" si="249"/>
        <v>-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s="12" customFormat="1" x14ac:dyDescent="0.2">
      <c r="A91" s="9" t="str">
        <f t="shared" ref="A91" si="701">CONCATENATE(B91,"_",C91)</f>
        <v>acm3_rat_5ZHP</v>
      </c>
      <c r="B91" s="9" t="s">
        <v>903</v>
      </c>
      <c r="C91" s="9" t="s">
        <v>1570</v>
      </c>
      <c r="D91" s="9" t="str">
        <f>IFERROR(MID(VLOOKUP($B91,Seqs!$A:$B,2,0),E91,1),"")</f>
        <v>T</v>
      </c>
      <c r="E91" s="9">
        <v>63</v>
      </c>
      <c r="F91" s="9" t="str">
        <f>IFERROR(MID(VLOOKUP($B91,Seqs!$A:$B,2,0),G91,1),"")</f>
        <v>N</v>
      </c>
      <c r="G91" s="9">
        <v>95</v>
      </c>
      <c r="H91" s="9" t="str">
        <f>IFERROR(MID(VLOOKUP($B91,Seqs!$A:$B,2,0),I91,1),"")</f>
        <v>K</v>
      </c>
      <c r="I91" s="109">
        <v>96</v>
      </c>
      <c r="J91" s="9" t="str">
        <f>IFERROR(MID(VLOOKUP($B91,Seqs!$A:$B,2,0),K91,1),"")</f>
        <v>K</v>
      </c>
      <c r="K91" s="109">
        <v>99</v>
      </c>
      <c r="L91" s="9" t="str">
        <f>IFERROR(MID(VLOOKUP($B91,Seqs!$A:$B,2,0),M91,1),"")</f>
        <v>T</v>
      </c>
      <c r="M91" s="9">
        <v>100</v>
      </c>
      <c r="N91" s="9" t="str">
        <f>IFERROR(MID(VLOOKUP($B91,Seqs!$A:$B,2,0),O91,1),"")</f>
        <v>M</v>
      </c>
      <c r="O91" s="9">
        <v>130</v>
      </c>
      <c r="P91" s="9" t="str">
        <f>IFERROR(MID(VLOOKUP($B91,Seqs!$A:$B,2,0),Q91,1),"")</f>
        <v>R</v>
      </c>
      <c r="Q91" s="9">
        <v>132</v>
      </c>
      <c r="R91" s="9" t="str">
        <f>IFERROR(MID(VLOOKUP($B91,Seqs!$A:$B,2,0),S91,1),"")</f>
        <v>L</v>
      </c>
      <c r="S91" s="9">
        <v>135</v>
      </c>
      <c r="T91" s="9" t="str">
        <f>IFERROR(MID(VLOOKUP($B91,Seqs!$A:$B,2,0),U91,1),"")</f>
        <v>G</v>
      </c>
      <c r="U91" s="9">
        <v>136</v>
      </c>
      <c r="V91" s="9" t="str">
        <f>IFERROR(MID(VLOOKUP($B91,Seqs!$A:$B,2,0),W91,1),"")</f>
        <v>R</v>
      </c>
      <c r="W91" s="9">
        <v>171</v>
      </c>
      <c r="X91" s="9" t="str">
        <f>IFERROR(MID(VLOOKUP($B91,Seqs!$A:$B,2,0),Y91,1),"")</f>
        <v>P</v>
      </c>
      <c r="Y91" s="9">
        <v>172</v>
      </c>
      <c r="Z91" s="9" t="str">
        <f>IFERROR(MID(VLOOKUP($B91,Seqs!$A:$B,2,0),AA91,1),"")</f>
        <v>R</v>
      </c>
      <c r="AA91" s="9">
        <v>179</v>
      </c>
      <c r="AB91" s="9" t="str">
        <f>IFERROR(MID(VLOOKUP($B91,Seqs!$A:$B,2,0),AC91,1),"")</f>
        <v>T</v>
      </c>
      <c r="AC91" s="9">
        <v>180</v>
      </c>
      <c r="AD91" s="9" t="str">
        <f>IFERROR(MID(VLOOKUP($B91,Seqs!$A:$B,2,0),AE91,1),"")</f>
        <v>G</v>
      </c>
      <c r="AE91" s="9">
        <v>211</v>
      </c>
      <c r="AF91" s="9" t="str">
        <f>IFERROR(MID(VLOOKUP($B91,Seqs!$A:$B,2,0),AG91,1),"")</f>
        <v>C</v>
      </c>
      <c r="AG91" s="9">
        <v>220</v>
      </c>
      <c r="AH91" s="9" t="str">
        <f>IFERROR(MID(VLOOKUP($B91,Seqs!$A:$B,2,0),AI91,1),"")</f>
        <v>I</v>
      </c>
      <c r="AI91" s="9">
        <v>222</v>
      </c>
      <c r="AJ91" s="9" t="str">
        <f>IFERROR(MID(VLOOKUP($B91,Seqs!$A:$B,2,0),AK91,1),"")</f>
        <v>E</v>
      </c>
      <c r="AK91" s="9">
        <v>227</v>
      </c>
      <c r="AL91" s="9" t="str">
        <f>IFERROR(MID(VLOOKUP($B91,Seqs!$A:$B,2,0),AM91,1),"")</f>
        <v>K</v>
      </c>
      <c r="AM91" s="9">
        <v>259</v>
      </c>
      <c r="AN91" s="9" t="str">
        <f>IFERROR(MID(VLOOKUP($B91,Seqs!$A:$B,2,0),AO91,1),"")</f>
        <v>L</v>
      </c>
      <c r="AO91" s="9">
        <v>482</v>
      </c>
      <c r="AP91" s="9" t="str">
        <f>IFERROR(MID(VLOOKUP($B91,Seqs!$A:$B,2,0),AQ91,1),"")</f>
        <v>C</v>
      </c>
      <c r="AQ91" s="9">
        <v>516</v>
      </c>
      <c r="AR91" s="9" t="str">
        <f>IFERROR(MID(VLOOKUP($B91,Seqs!$A:$B,2,0),AS91,1),"")</f>
        <v>P</v>
      </c>
      <c r="AS91" s="9">
        <v>521</v>
      </c>
      <c r="AT91" s="9" t="str">
        <f>IFERROR(MID(VLOOKUP($B91,Seqs!$A:$B,2,0),AU91,1),"")</f>
        <v>C</v>
      </c>
      <c r="AU91" s="9">
        <v>546</v>
      </c>
      <c r="AV91" s="9" t="str">
        <f>IFERROR(MID(VLOOKUP($B91,Seqs!$A:$B,2,0),AW91,1),"")</f>
        <v>N</v>
      </c>
      <c r="AW91" s="9">
        <v>547</v>
      </c>
      <c r="AX91" s="9" t="str">
        <f>IFERROR(MID(VLOOKUP($B91,Seqs!$A:$B,2,0),AY91,1),"")</f>
        <v>C</v>
      </c>
      <c r="AY91" s="9">
        <v>560</v>
      </c>
      <c r="AZ91" s="110" t="str">
        <f>VLOOKUP(B91,Classification!A:D,2,0)</f>
        <v>A</v>
      </c>
      <c r="BA91" s="98" t="str">
        <f>VLOOKUP(B91,Classification!A:D,4,0)</f>
        <v>Acetylcholine(muscarinic)</v>
      </c>
      <c r="BB91" s="36" t="b">
        <f t="shared" ref="BB91" si="702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09">
        <f t="shared" ref="BC91" si="703">_xlfn.AGGREGATE(9,6,CH91:CS91)-_xlfn.AGGREGATE(9,6,BV91:CG91)+12</f>
        <v>259</v>
      </c>
      <c r="BD91" s="11" t="s">
        <v>1370</v>
      </c>
      <c r="BE91" s="9" t="s">
        <v>1368</v>
      </c>
      <c r="BF91" s="119">
        <v>3.1</v>
      </c>
      <c r="BG91" s="51" t="s">
        <v>1275</v>
      </c>
      <c r="BH91" s="51" t="s">
        <v>1275</v>
      </c>
      <c r="BJ91" s="111" t="s">
        <v>1281</v>
      </c>
      <c r="BK91" s="112" t="s">
        <v>1281</v>
      </c>
      <c r="BL91" s="112" t="s">
        <v>1281</v>
      </c>
      <c r="BM91" s="112" t="s">
        <v>1281</v>
      </c>
      <c r="BN91" s="112" t="s">
        <v>1281</v>
      </c>
      <c r="BO91" s="112" t="s">
        <v>1281</v>
      </c>
      <c r="BP91" s="112" t="s">
        <v>1281</v>
      </c>
      <c r="BQ91" s="112" t="s">
        <v>1281</v>
      </c>
      <c r="BR91" s="112" t="s">
        <v>1281</v>
      </c>
      <c r="BS91" s="112" t="s">
        <v>1281</v>
      </c>
      <c r="BT91" s="112" t="s">
        <v>1281</v>
      </c>
      <c r="BU91" s="112" t="s">
        <v>1281</v>
      </c>
      <c r="BV91" s="111">
        <f t="shared" ref="BV91" si="704">E91</f>
        <v>63</v>
      </c>
      <c r="BW91" s="113">
        <f t="shared" ref="BW91" si="705">I91</f>
        <v>96</v>
      </c>
      <c r="BX91" s="114">
        <f t="shared" ref="BX91" si="706">M91</f>
        <v>100</v>
      </c>
      <c r="BY91" s="113">
        <f t="shared" ref="BY91" si="707">Q91</f>
        <v>132</v>
      </c>
      <c r="BZ91" s="114">
        <f t="shared" ref="BZ91" si="708">U91</f>
        <v>136</v>
      </c>
      <c r="CA91" s="113">
        <f t="shared" ref="CA91" si="709">Y91</f>
        <v>172</v>
      </c>
      <c r="CB91" s="114">
        <f t="shared" ref="CB91" si="710">AC91</f>
        <v>180</v>
      </c>
      <c r="CC91" s="113">
        <f t="shared" ref="CC91" si="711">AG91</f>
        <v>220</v>
      </c>
      <c r="CD91" s="114">
        <f t="shared" ref="CD91" si="712">AK91</f>
        <v>227</v>
      </c>
      <c r="CE91" s="113">
        <f t="shared" ref="CE91" si="713">AO91</f>
        <v>482</v>
      </c>
      <c r="CF91" s="114">
        <f t="shared" ref="CF91" si="714">AS91</f>
        <v>521</v>
      </c>
      <c r="CG91" s="113">
        <f t="shared" ref="CG91" si="715">AW91</f>
        <v>547</v>
      </c>
      <c r="CH91" s="111">
        <f t="shared" ref="CH91" si="716">G91</f>
        <v>95</v>
      </c>
      <c r="CI91" s="113">
        <f t="shared" ref="CI91" si="717">K91</f>
        <v>99</v>
      </c>
      <c r="CJ91" s="114">
        <f t="shared" ref="CJ91" si="718">O91</f>
        <v>130</v>
      </c>
      <c r="CK91" s="114">
        <f t="shared" ref="CK91" si="719">S91</f>
        <v>135</v>
      </c>
      <c r="CL91" s="114">
        <f t="shared" ref="CL91" si="720">W91</f>
        <v>171</v>
      </c>
      <c r="CM91" s="114">
        <f t="shared" ref="CM91" si="721">AA91</f>
        <v>179</v>
      </c>
      <c r="CN91" s="114">
        <f t="shared" ref="CN91" si="722">AE91</f>
        <v>211</v>
      </c>
      <c r="CO91" s="114">
        <f t="shared" ref="CO91" si="723">AI91</f>
        <v>222</v>
      </c>
      <c r="CP91" s="114">
        <f t="shared" ref="CP91" si="724">AM91</f>
        <v>259</v>
      </c>
      <c r="CQ91" s="114">
        <f t="shared" ref="CQ91" si="725">AQ91</f>
        <v>516</v>
      </c>
      <c r="CR91" s="114">
        <f t="shared" ref="CR91" si="726">AU91</f>
        <v>546</v>
      </c>
      <c r="CS91" s="114">
        <f t="shared" ref="CS91" si="727">AY91</f>
        <v>560</v>
      </c>
      <c r="CT91" s="109">
        <f t="shared" ref="CT91" si="728">M91-K91</f>
        <v>1</v>
      </c>
    </row>
    <row r="92" spans="1:1029" x14ac:dyDescent="0.2">
      <c r="A92" s="3" t="str">
        <f t="shared" si="503"/>
        <v>acm4_human__wt</v>
      </c>
      <c r="B92" s="3" t="s">
        <v>149</v>
      </c>
      <c r="C92" s="3" t="s">
        <v>100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G</v>
      </c>
      <c r="O92" s="105">
        <v>96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E</v>
      </c>
      <c r="AM92" s="3">
        <v>232</v>
      </c>
      <c r="AN92" s="3" t="str">
        <f>IFERROR(MID(VLOOKUP($B92,Seqs!$A:$B,2,0),AO92,1),"")</f>
        <v>R</v>
      </c>
      <c r="AO92" s="3">
        <v>389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Q</v>
      </c>
      <c r="AY92" s="105">
        <v>471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274</v>
      </c>
      <c r="BD92" s="34" t="s">
        <v>23</v>
      </c>
      <c r="BE92" s="3" t="s">
        <v>23</v>
      </c>
      <c r="BF92" s="118" t="s">
        <v>23</v>
      </c>
      <c r="BG92" s="49" t="s">
        <v>1366</v>
      </c>
      <c r="BH92" s="49" t="s">
        <v>1371</v>
      </c>
      <c r="BI92" s="1"/>
      <c r="BJ92" s="70" t="s">
        <v>1281</v>
      </c>
      <c r="BK92" s="57" t="s">
        <v>1281</v>
      </c>
      <c r="BL92" s="57" t="s">
        <v>1281</v>
      </c>
      <c r="BM92" s="57" t="s">
        <v>1281</v>
      </c>
      <c r="BN92" s="57" t="s">
        <v>1281</v>
      </c>
      <c r="BO92" s="57" t="s">
        <v>1281</v>
      </c>
      <c r="BP92" s="57" t="s">
        <v>1281</v>
      </c>
      <c r="BQ92" s="57" t="s">
        <v>1281</v>
      </c>
      <c r="BR92" s="57" t="s">
        <v>1281</v>
      </c>
      <c r="BS92" s="57" t="s">
        <v>1281</v>
      </c>
      <c r="BT92" s="57" t="s">
        <v>1281</v>
      </c>
      <c r="BU92" s="57" t="s">
        <v>1281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389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96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232</v>
      </c>
      <c r="CQ92" s="72">
        <f t="shared" si="247"/>
        <v>426</v>
      </c>
      <c r="CR92" s="72">
        <f t="shared" si="248"/>
        <v>456</v>
      </c>
      <c r="CS92" s="72">
        <f t="shared" si="249"/>
        <v>471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03"/>
        <v>acm4_human_5DSG</v>
      </c>
      <c r="B93" s="3" t="s">
        <v>149</v>
      </c>
      <c r="C93" s="3" t="s">
        <v>61</v>
      </c>
      <c r="D93" s="3" t="str">
        <f>IFERROR(MID(VLOOKUP($B93,Seqs!$A:$B,2,0),E93,1),"")</f>
        <v>R</v>
      </c>
      <c r="E93" s="3">
        <v>26</v>
      </c>
      <c r="F93" s="3" t="str">
        <f>IFERROR(MID(VLOOKUP($B93,Seqs!$A:$B,2,0),G93,1),"")</f>
        <v>N</v>
      </c>
      <c r="G93" s="3">
        <v>60</v>
      </c>
      <c r="H93" s="3" t="str">
        <f>IFERROR(MID(VLOOKUP($B93,Seqs!$A:$B,2,0),I93,1),"")</f>
        <v>R</v>
      </c>
      <c r="I93" s="23">
        <v>61</v>
      </c>
      <c r="J93" s="3" t="str">
        <f>IFERROR(MID(VLOOKUP($B93,Seqs!$A:$B,2,0),K93,1),"")</f>
        <v>Q</v>
      </c>
      <c r="K93" s="23">
        <v>64</v>
      </c>
      <c r="L93" s="3" t="str">
        <f>IFERROR(MID(VLOOKUP($B93,Seqs!$A:$B,2,0),M93,1),"")</f>
        <v>T</v>
      </c>
      <c r="M93" s="3">
        <v>65</v>
      </c>
      <c r="N93" s="3" t="str">
        <f>IFERROR(MID(VLOOKUP($B93,Seqs!$A:$B,2,0),O93,1),"")</f>
        <v>G</v>
      </c>
      <c r="O93" s="3">
        <v>96</v>
      </c>
      <c r="P93" s="3" t="str">
        <f>IFERROR(MID(VLOOKUP($B93,Seqs!$A:$B,2,0),Q93,1),"")</f>
        <v>Y</v>
      </c>
      <c r="Q93" s="3">
        <v>97</v>
      </c>
      <c r="R93" s="3" t="str">
        <f>IFERROR(MID(VLOOKUP($B93,Seqs!$A:$B,2,0),S93,1),"")</f>
        <v>L</v>
      </c>
      <c r="S93" s="3">
        <v>100</v>
      </c>
      <c r="T93" s="3" t="str">
        <f>IFERROR(MID(VLOOKUP($B93,Seqs!$A:$B,2,0),U93,1),"")</f>
        <v>G</v>
      </c>
      <c r="U93" s="3">
        <v>101</v>
      </c>
      <c r="V93" s="3" t="str">
        <f>IFERROR(MID(VLOOKUP($B93,Seqs!$A:$B,2,0),W93,1),"")</f>
        <v>K</v>
      </c>
      <c r="W93" s="3">
        <v>136</v>
      </c>
      <c r="X93" s="3" t="str">
        <f>IFERROR(MID(VLOOKUP($B93,Seqs!$A:$B,2,0),Y93,1),"")</f>
        <v>P</v>
      </c>
      <c r="Y93" s="3">
        <v>137</v>
      </c>
      <c r="Z93" s="3" t="str">
        <f>IFERROR(MID(VLOOKUP($B93,Seqs!$A:$B,2,0),AA93,1),"")</f>
        <v>R</v>
      </c>
      <c r="AA93" s="3">
        <v>144</v>
      </c>
      <c r="AB93" s="3" t="str">
        <f>IFERROR(MID(VLOOKUP($B93,Seqs!$A:$B,2,0),AC93,1),"")</f>
        <v>T</v>
      </c>
      <c r="AC93" s="9">
        <v>145</v>
      </c>
      <c r="AD93" s="3" t="str">
        <f>IFERROR(MID(VLOOKUP($B93,Seqs!$A:$B,2,0),AE93,1),"")</f>
        <v>G</v>
      </c>
      <c r="AE93" s="3">
        <v>176</v>
      </c>
      <c r="AF93" s="3" t="str">
        <f>IFERROR(MID(VLOOKUP($B93,Seqs!$A:$B,2,0),AG93,1),"")</f>
        <v>C</v>
      </c>
      <c r="AG93" s="3">
        <v>185</v>
      </c>
      <c r="AH93" s="3" t="str">
        <f>IFERROR(MID(VLOOKUP($B93,Seqs!$A:$B,2,0),AI93,1),"")</f>
        <v>I</v>
      </c>
      <c r="AI93" s="3">
        <v>187</v>
      </c>
      <c r="AJ93" s="3" t="str">
        <f>IFERROR(MID(VLOOKUP($B93,Seqs!$A:$B,2,0),AK93,1),"")</f>
        <v>N</v>
      </c>
      <c r="AK93" s="3">
        <v>192</v>
      </c>
      <c r="AL93" s="3" t="str">
        <f>IFERROR(MID(VLOOKUP($B93,Seqs!$A:$B,2,0),AM93,1),"")</f>
        <v>L</v>
      </c>
      <c r="AM93" s="3">
        <v>220</v>
      </c>
      <c r="AN93" s="3" t="str">
        <f>IFERROR(MID(VLOOKUP($B93,Seqs!$A:$B,2,0),AO93,1),"")</f>
        <v>R</v>
      </c>
      <c r="AO93" s="3">
        <v>396</v>
      </c>
      <c r="AP93" s="3" t="str">
        <f>IFERROR(MID(VLOOKUP($B93,Seqs!$A:$B,2,0),AQ93,1),"")</f>
        <v>C</v>
      </c>
      <c r="AQ93" s="3">
        <v>426</v>
      </c>
      <c r="AR93" s="3" t="str">
        <f>IFERROR(MID(VLOOKUP($B93,Seqs!$A:$B,2,0),AS93,1),"")</f>
        <v>P</v>
      </c>
      <c r="AS93" s="3">
        <v>431</v>
      </c>
      <c r="AT93" s="3" t="str">
        <f>IFERROR(MID(VLOOKUP($B93,Seqs!$A:$B,2,0),AU93,1),"")</f>
        <v>C</v>
      </c>
      <c r="AU93" s="3">
        <v>456</v>
      </c>
      <c r="AV93" s="3" t="str">
        <f>IFERROR(MID(VLOOKUP($B93,Seqs!$A:$B,2,0),AW93,1),"")</f>
        <v>N</v>
      </c>
      <c r="AW93" s="3">
        <v>457</v>
      </c>
      <c r="AX93" s="3" t="str">
        <f>IFERROR(MID(VLOOKUP($B93,Seqs!$A:$B,2,0),AY93,1),"")</f>
        <v>L</v>
      </c>
      <c r="AY93" s="3">
        <v>469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04"/>
        <v>1</v>
      </c>
      <c r="BC93" s="23">
        <f t="shared" si="225"/>
        <v>253</v>
      </c>
      <c r="BD93" s="2" t="s">
        <v>23</v>
      </c>
      <c r="BE93" s="3" t="s">
        <v>1368</v>
      </c>
      <c r="BF93" s="118">
        <v>2.6</v>
      </c>
      <c r="BG93" s="49" t="s">
        <v>1371</v>
      </c>
      <c r="BH93" s="49" t="s">
        <v>1371</v>
      </c>
      <c r="BI93" s="1"/>
      <c r="BJ93" s="70" t="s">
        <v>1281</v>
      </c>
      <c r="BK93" s="57" t="s">
        <v>1281</v>
      </c>
      <c r="BL93" s="57" t="s">
        <v>1281</v>
      </c>
      <c r="BM93" s="57" t="s">
        <v>1281</v>
      </c>
      <c r="BN93" s="57" t="s">
        <v>1281</v>
      </c>
      <c r="BO93" s="57" t="s">
        <v>1281</v>
      </c>
      <c r="BP93" s="57" t="s">
        <v>1281</v>
      </c>
      <c r="BQ93" s="57" t="s">
        <v>1281</v>
      </c>
      <c r="BR93" s="57" t="s">
        <v>1281</v>
      </c>
      <c r="BS93" s="57" t="s">
        <v>1281</v>
      </c>
      <c r="BT93" s="57" t="s">
        <v>1281</v>
      </c>
      <c r="BU93" s="57" t="s">
        <v>1281</v>
      </c>
      <c r="BV93" s="70">
        <f t="shared" si="226"/>
        <v>26</v>
      </c>
      <c r="BW93" s="71">
        <f t="shared" si="227"/>
        <v>61</v>
      </c>
      <c r="BX93" s="72">
        <f t="shared" si="228"/>
        <v>65</v>
      </c>
      <c r="BY93" s="71">
        <f t="shared" si="229"/>
        <v>97</v>
      </c>
      <c r="BZ93" s="72">
        <f t="shared" si="230"/>
        <v>101</v>
      </c>
      <c r="CA93" s="71">
        <f t="shared" si="231"/>
        <v>137</v>
      </c>
      <c r="CB93" s="72">
        <f t="shared" si="232"/>
        <v>145</v>
      </c>
      <c r="CC93" s="71">
        <f t="shared" si="233"/>
        <v>185</v>
      </c>
      <c r="CD93" s="72">
        <f t="shared" si="234"/>
        <v>192</v>
      </c>
      <c r="CE93" s="71">
        <f t="shared" si="235"/>
        <v>396</v>
      </c>
      <c r="CF93" s="72">
        <f t="shared" si="236"/>
        <v>431</v>
      </c>
      <c r="CG93" s="71">
        <f t="shared" si="237"/>
        <v>457</v>
      </c>
      <c r="CH93" s="70">
        <f t="shared" si="238"/>
        <v>60</v>
      </c>
      <c r="CI93" s="71">
        <f t="shared" si="239"/>
        <v>64</v>
      </c>
      <c r="CJ93" s="72">
        <f t="shared" si="240"/>
        <v>96</v>
      </c>
      <c r="CK93" s="72">
        <f t="shared" si="241"/>
        <v>100</v>
      </c>
      <c r="CL93" s="72">
        <f t="shared" si="242"/>
        <v>136</v>
      </c>
      <c r="CM93" s="72">
        <f t="shared" si="243"/>
        <v>144</v>
      </c>
      <c r="CN93" s="72">
        <f t="shared" si="244"/>
        <v>176</v>
      </c>
      <c r="CO93" s="72">
        <f t="shared" si="245"/>
        <v>187</v>
      </c>
      <c r="CP93" s="72">
        <f t="shared" si="246"/>
        <v>220</v>
      </c>
      <c r="CQ93" s="72">
        <f t="shared" si="247"/>
        <v>426</v>
      </c>
      <c r="CR93" s="72">
        <f t="shared" si="248"/>
        <v>456</v>
      </c>
      <c r="CS93" s="72">
        <f t="shared" si="249"/>
        <v>469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s="12" customFormat="1" x14ac:dyDescent="0.2">
      <c r="A94" s="9" t="str">
        <f t="shared" ref="A94" si="729">CONCATENATE(B94,"_",C94)</f>
        <v>acm4_human_6KP6</v>
      </c>
      <c r="B94" s="9" t="s">
        <v>149</v>
      </c>
      <c r="C94" s="9" t="s">
        <v>1651</v>
      </c>
      <c r="D94" s="9" t="str">
        <f>IFERROR(MID(VLOOKUP($B94,Seqs!$A:$B,2,0),E94,1),"")</f>
        <v>T</v>
      </c>
      <c r="E94" s="9">
        <v>29</v>
      </c>
      <c r="F94" s="9" t="str">
        <f>IFERROR(MID(VLOOKUP($B94,Seqs!$A:$B,2,0),G94,1),"")</f>
        <v>N</v>
      </c>
      <c r="G94" s="9">
        <v>60</v>
      </c>
      <c r="H94" s="9" t="str">
        <f>IFERROR(MID(VLOOKUP($B94,Seqs!$A:$B,2,0),I94,1),"")</f>
        <v>R</v>
      </c>
      <c r="I94" s="109">
        <v>61</v>
      </c>
      <c r="J94" s="9" t="str">
        <f>IFERROR(MID(VLOOKUP($B94,Seqs!$A:$B,2,0),K94,1),"")</f>
        <v>Q</v>
      </c>
      <c r="K94" s="109">
        <v>64</v>
      </c>
      <c r="L94" s="9" t="str">
        <f>IFERROR(MID(VLOOKUP($B94,Seqs!$A:$B,2,0),M94,1),"")</f>
        <v>T</v>
      </c>
      <c r="M94" s="9">
        <v>65</v>
      </c>
      <c r="N94" s="9" t="str">
        <f>IFERROR(MID(VLOOKUP($B94,Seqs!$A:$B,2,0),O94,1),"")</f>
        <v>G</v>
      </c>
      <c r="O94" s="9">
        <v>96</v>
      </c>
      <c r="P94" s="9" t="str">
        <f>IFERROR(MID(VLOOKUP($B94,Seqs!$A:$B,2,0),Q94,1),"")</f>
        <v>Y</v>
      </c>
      <c r="Q94" s="9">
        <v>97</v>
      </c>
      <c r="R94" s="9" t="str">
        <f>IFERROR(MID(VLOOKUP($B94,Seqs!$A:$B,2,0),S94,1),"")</f>
        <v>L</v>
      </c>
      <c r="S94" s="9">
        <v>100</v>
      </c>
      <c r="T94" s="9" t="str">
        <f>IFERROR(MID(VLOOKUP($B94,Seqs!$A:$B,2,0),U94,1),"")</f>
        <v>G</v>
      </c>
      <c r="U94" s="9">
        <v>101</v>
      </c>
      <c r="V94" s="9" t="str">
        <f>IFERROR(MID(VLOOKUP($B94,Seqs!$A:$B,2,0),W94,1),"")</f>
        <v>K</v>
      </c>
      <c r="W94" s="9">
        <v>136</v>
      </c>
      <c r="X94" s="9" t="str">
        <f>IFERROR(MID(VLOOKUP($B94,Seqs!$A:$B,2,0),Y94,1),"")</f>
        <v>P</v>
      </c>
      <c r="Y94" s="9">
        <v>137</v>
      </c>
      <c r="Z94" s="9" t="str">
        <f>IFERROR(MID(VLOOKUP($B94,Seqs!$A:$B,2,0),AA94,1),"")</f>
        <v>R</v>
      </c>
      <c r="AA94" s="9">
        <v>144</v>
      </c>
      <c r="AB94" s="9" t="str">
        <f>IFERROR(MID(VLOOKUP($B94,Seqs!$A:$B,2,0),AC94,1),"")</f>
        <v>T</v>
      </c>
      <c r="AC94" s="9">
        <v>145</v>
      </c>
      <c r="AD94" s="9" t="str">
        <f>IFERROR(MID(VLOOKUP($B94,Seqs!$A:$B,2,0),AE94,1),"")</f>
        <v>G</v>
      </c>
      <c r="AE94" s="9">
        <v>176</v>
      </c>
      <c r="AF94" s="9" t="str">
        <f>IFERROR(MID(VLOOKUP($B94,Seqs!$A:$B,2,0),AG94,1),"")</f>
        <v>C</v>
      </c>
      <c r="AG94" s="9">
        <v>185</v>
      </c>
      <c r="AH94" s="9" t="str">
        <f>IFERROR(MID(VLOOKUP($B94,Seqs!$A:$B,2,0),AI94,1),"")</f>
        <v>I</v>
      </c>
      <c r="AI94" s="9">
        <v>187</v>
      </c>
      <c r="AJ94" s="9" t="str">
        <f>IFERROR(MID(VLOOKUP($B94,Seqs!$A:$B,2,0),AK94,1),"")</f>
        <v>N</v>
      </c>
      <c r="AK94" s="9">
        <v>192</v>
      </c>
      <c r="AL94" s="9" t="str">
        <f>IFERROR(MID(VLOOKUP($B94,Seqs!$A:$B,2,0),AM94,1),"")</f>
        <v>R</v>
      </c>
      <c r="AM94" s="9">
        <v>223</v>
      </c>
      <c r="AN94" s="9" t="str">
        <f>IFERROR(MID(VLOOKUP($B94,Seqs!$A:$B,2,0),AO94,1),"")</f>
        <v>Q</v>
      </c>
      <c r="AO94" s="9">
        <v>390</v>
      </c>
      <c r="AP94" s="9" t="str">
        <f>IFERROR(MID(VLOOKUP($B94,Seqs!$A:$B,2,0),AQ94,1),"")</f>
        <v>C</v>
      </c>
      <c r="AQ94" s="9">
        <v>426</v>
      </c>
      <c r="AR94" s="9" t="str">
        <f>IFERROR(MID(VLOOKUP($B94,Seqs!$A:$B,2,0),AS94,1),"")</f>
        <v>P</v>
      </c>
      <c r="AS94" s="9">
        <v>431</v>
      </c>
      <c r="AT94" s="9" t="str">
        <f>IFERROR(MID(VLOOKUP($B94,Seqs!$A:$B,2,0),AU94,1),"")</f>
        <v>C</v>
      </c>
      <c r="AU94" s="9">
        <v>456</v>
      </c>
      <c r="AV94" s="9" t="str">
        <f>IFERROR(MID(VLOOKUP($B94,Seqs!$A:$B,2,0),AW94,1),"")</f>
        <v>N</v>
      </c>
      <c r="AW94" s="9">
        <v>457</v>
      </c>
      <c r="AX94" s="9" t="str">
        <f>IFERROR(MID(VLOOKUP($B94,Seqs!$A:$B,2,0),AY94,1),"")</f>
        <v>Q</v>
      </c>
      <c r="AY94" s="9">
        <v>471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ref="BB94" si="730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109">
        <f t="shared" ref="BC94" si="731">_xlfn.AGGREGATE(9,6,CH94:CS94)-_xlfn.AGGREGATE(9,6,BV94:CG94)+12</f>
        <v>261</v>
      </c>
      <c r="BD94" s="40" t="s">
        <v>1370</v>
      </c>
      <c r="BE94" s="9" t="s">
        <v>1368</v>
      </c>
      <c r="BF94" s="119">
        <v>3</v>
      </c>
      <c r="BG94" s="51" t="s">
        <v>1</v>
      </c>
      <c r="BH94" s="51" t="s">
        <v>1</v>
      </c>
      <c r="BJ94" s="111" t="s">
        <v>1281</v>
      </c>
      <c r="BK94" s="112" t="s">
        <v>1281</v>
      </c>
      <c r="BL94" s="112" t="s">
        <v>1281</v>
      </c>
      <c r="BM94" s="112" t="s">
        <v>1281</v>
      </c>
      <c r="BN94" s="112" t="s">
        <v>1281</v>
      </c>
      <c r="BO94" s="112" t="s">
        <v>1281</v>
      </c>
      <c r="BP94" s="112" t="s">
        <v>1281</v>
      </c>
      <c r="BQ94" s="112" t="s">
        <v>1281</v>
      </c>
      <c r="BR94" s="112" t="s">
        <v>1281</v>
      </c>
      <c r="BS94" s="112" t="s">
        <v>1281</v>
      </c>
      <c r="BT94" s="112" t="s">
        <v>1281</v>
      </c>
      <c r="BU94" s="112" t="s">
        <v>1281</v>
      </c>
      <c r="BV94" s="111">
        <f t="shared" ref="BV94" si="732">E94</f>
        <v>29</v>
      </c>
      <c r="BW94" s="113">
        <f t="shared" ref="BW94" si="733">I94</f>
        <v>61</v>
      </c>
      <c r="BX94" s="114">
        <f t="shared" ref="BX94" si="734">M94</f>
        <v>65</v>
      </c>
      <c r="BY94" s="113">
        <f t="shared" ref="BY94" si="735">Q94</f>
        <v>97</v>
      </c>
      <c r="BZ94" s="114">
        <f t="shared" ref="BZ94" si="736">U94</f>
        <v>101</v>
      </c>
      <c r="CA94" s="113">
        <f t="shared" ref="CA94" si="737">Y94</f>
        <v>137</v>
      </c>
      <c r="CB94" s="114">
        <f t="shared" ref="CB94" si="738">AC94</f>
        <v>145</v>
      </c>
      <c r="CC94" s="113">
        <f t="shared" ref="CC94" si="739">AG94</f>
        <v>185</v>
      </c>
      <c r="CD94" s="114">
        <f t="shared" ref="CD94" si="740">AK94</f>
        <v>192</v>
      </c>
      <c r="CE94" s="113">
        <f t="shared" ref="CE94" si="741">AO94</f>
        <v>390</v>
      </c>
      <c r="CF94" s="114">
        <f t="shared" ref="CF94" si="742">AS94</f>
        <v>431</v>
      </c>
      <c r="CG94" s="113">
        <f t="shared" ref="CG94" si="743">AW94</f>
        <v>457</v>
      </c>
      <c r="CH94" s="111">
        <f t="shared" ref="CH94" si="744">G94</f>
        <v>60</v>
      </c>
      <c r="CI94" s="113">
        <f t="shared" ref="CI94" si="745">K94</f>
        <v>64</v>
      </c>
      <c r="CJ94" s="114">
        <f t="shared" ref="CJ94" si="746">O94</f>
        <v>96</v>
      </c>
      <c r="CK94" s="114">
        <f t="shared" ref="CK94" si="747">S94</f>
        <v>100</v>
      </c>
      <c r="CL94" s="114">
        <f t="shared" ref="CL94" si="748">W94</f>
        <v>136</v>
      </c>
      <c r="CM94" s="114">
        <f t="shared" ref="CM94" si="749">AA94</f>
        <v>144</v>
      </c>
      <c r="CN94" s="114">
        <f t="shared" ref="CN94" si="750">AE94</f>
        <v>176</v>
      </c>
      <c r="CO94" s="114">
        <f t="shared" ref="CO94" si="751">AI94</f>
        <v>187</v>
      </c>
      <c r="CP94" s="114">
        <f t="shared" ref="CP94" si="752">AM94</f>
        <v>223</v>
      </c>
      <c r="CQ94" s="114">
        <f t="shared" ref="CQ94" si="753">AQ94</f>
        <v>426</v>
      </c>
      <c r="CR94" s="114">
        <f t="shared" ref="CR94" si="754">AU94</f>
        <v>456</v>
      </c>
      <c r="CS94" s="114">
        <f t="shared" ref="CS94" si="755">AY94</f>
        <v>471</v>
      </c>
      <c r="CT94" s="109">
        <f t="shared" ref="CT94" si="756">M94-K94</f>
        <v>1</v>
      </c>
    </row>
    <row r="95" spans="1:1029" x14ac:dyDescent="0.2">
      <c r="A95" s="3" t="str">
        <f t="shared" ref="A95:A96" si="757">CONCATENATE(B95,"_",C95)</f>
        <v>acm5_human__wt</v>
      </c>
      <c r="B95" s="3" t="s">
        <v>150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58</v>
      </c>
      <c r="H95" s="3" t="str">
        <f>IFERROR(MID(VLOOKUP($B95,Seqs!$A:$B,2,0),I95,1),"")</f>
        <v>S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T</v>
      </c>
      <c r="M95" s="3">
        <v>63</v>
      </c>
      <c r="N95" s="3" t="str">
        <f>IFERROR(MID(VLOOKUP($B95,Seqs!$A:$B,2,0),O95,1),"")</f>
        <v>G</v>
      </c>
      <c r="O95" s="3">
        <v>94</v>
      </c>
      <c r="P95" s="3" t="str">
        <f>IFERROR(MID(VLOOKUP($B95,Seqs!$A:$B,2,0),Q95,1),"")</f>
        <v>R</v>
      </c>
      <c r="Q95" s="3">
        <v>95</v>
      </c>
      <c r="R95" s="3" t="str">
        <f>IFERROR(MID(VLOOKUP($B95,Seqs!$A:$B,2,0),S95,1),"")</f>
        <v>L</v>
      </c>
      <c r="S95" s="3">
        <v>98</v>
      </c>
      <c r="T95" s="3" t="str">
        <f>IFERROR(MID(VLOOKUP($B95,Seqs!$A:$B,2,0),U95,1),"")</f>
        <v>G</v>
      </c>
      <c r="U95" s="3">
        <v>99</v>
      </c>
      <c r="V95" s="3" t="str">
        <f>IFERROR(MID(VLOOKUP($B95,Seqs!$A:$B,2,0),W95,1),"")</f>
        <v>R</v>
      </c>
      <c r="W95" s="3">
        <v>134</v>
      </c>
      <c r="X95" s="3" t="str">
        <f>IFERROR(MID(VLOOKUP($B95,Seqs!$A:$B,2,0),Y95,1),"")</f>
        <v>P</v>
      </c>
      <c r="Y95" s="3">
        <v>135</v>
      </c>
      <c r="Z95" s="3" t="str">
        <f>IFERROR(MID(VLOOKUP($B95,Seqs!$A:$B,2,0),AA95,1),"")</f>
        <v>R</v>
      </c>
      <c r="AA95" s="3">
        <v>142</v>
      </c>
      <c r="AB95" s="3" t="str">
        <f>IFERROR(MID(VLOOKUP($B95,Seqs!$A:$B,2,0),AC95,1),"")</f>
        <v>T</v>
      </c>
      <c r="AC95" s="3">
        <v>143</v>
      </c>
      <c r="AD95" s="3" t="str">
        <f>IFERROR(MID(VLOOKUP($B95,Seqs!$A:$B,2,0),AE95,1),"")</f>
        <v>G</v>
      </c>
      <c r="AE95" s="3">
        <v>174</v>
      </c>
      <c r="AF95" s="3" t="str">
        <f>IFERROR(MID(VLOOKUP($B95,Seqs!$A:$B,2,0),AG95,1),"")</f>
        <v>C</v>
      </c>
      <c r="AG95" s="3">
        <v>183</v>
      </c>
      <c r="AH95" s="3" t="str">
        <f>IFERROR(MID(VLOOKUP($B95,Seqs!$A:$B,2,0),AI95,1),"")</f>
        <v>I</v>
      </c>
      <c r="AI95" s="3">
        <v>185</v>
      </c>
      <c r="AJ95" s="3" t="str">
        <f>IFERROR(MID(VLOOKUP($B95,Seqs!$A:$B,2,0),AK95,1),"")</f>
        <v>E</v>
      </c>
      <c r="AK95" s="3">
        <v>190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R</v>
      </c>
      <c r="AO95" s="3">
        <v>431</v>
      </c>
      <c r="AP95" s="3" t="str">
        <f>IFERROR(MID(VLOOKUP($B95,Seqs!$A:$B,2,0),AQ95,1),"")</f>
        <v>C</v>
      </c>
      <c r="AQ95" s="3">
        <v>468</v>
      </c>
      <c r="AR95" s="3" t="str">
        <f>IFERROR(MID(VLOOKUP($B95,Seqs!$A:$B,2,0),AS95,1),"")</f>
        <v>P</v>
      </c>
      <c r="AS95" s="3">
        <v>473</v>
      </c>
      <c r="AT95" s="3" t="str">
        <f>IFERROR(MID(VLOOKUP($B95,Seqs!$A:$B,2,0),AU95,1),"")</f>
        <v>C</v>
      </c>
      <c r="AU95" s="3">
        <v>498</v>
      </c>
      <c r="AV95" s="3" t="str">
        <f>IFERROR(MID(VLOOKUP($B95,Seqs!$A:$B,2,0),AW95,1),"")</f>
        <v>N</v>
      </c>
      <c r="AW95" s="3">
        <v>499</v>
      </c>
      <c r="AX95" s="3" t="str">
        <f>IFERROR(MID(VLOOKUP($B95,Seqs!$A:$B,2,0),AY95,1),"")</f>
        <v>L</v>
      </c>
      <c r="AY95" s="3">
        <v>511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:BB96" si="75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:BC96" si="759">_xlfn.AGGREGATE(9,6,CH95:CS95)-_xlfn.AGGREGATE(9,6,BV95:CG95)+12</f>
        <v>270</v>
      </c>
      <c r="BD95" s="2" t="s">
        <v>23</v>
      </c>
      <c r="BE95" s="3" t="s">
        <v>23</v>
      </c>
      <c r="BF95" s="118" t="s">
        <v>23</v>
      </c>
      <c r="BG95" s="49" t="s">
        <v>1371</v>
      </c>
      <c r="BH95" s="49" t="s">
        <v>1371</v>
      </c>
      <c r="BI95" s="1"/>
      <c r="BJ95" s="70" t="s">
        <v>1281</v>
      </c>
      <c r="BK95" s="57" t="s">
        <v>1281</v>
      </c>
      <c r="BL95" s="57" t="s">
        <v>1281</v>
      </c>
      <c r="BM95" s="57" t="s">
        <v>1281</v>
      </c>
      <c r="BN95" s="57" t="s">
        <v>1281</v>
      </c>
      <c r="BO95" s="57" t="s">
        <v>1281</v>
      </c>
      <c r="BP95" s="57" t="s">
        <v>1281</v>
      </c>
      <c r="BQ95" s="57" t="s">
        <v>1281</v>
      </c>
      <c r="BR95" s="57" t="s">
        <v>1281</v>
      </c>
      <c r="BS95" s="57" t="s">
        <v>1281</v>
      </c>
      <c r="BT95" s="57" t="s">
        <v>1281</v>
      </c>
      <c r="BU95" s="57" t="s">
        <v>1281</v>
      </c>
      <c r="BV95" s="70">
        <f t="shared" ref="BV95:BV96" si="760">E95</f>
        <v>26</v>
      </c>
      <c r="BW95" s="71">
        <f t="shared" ref="BW95:BW96" si="761">I95</f>
        <v>59</v>
      </c>
      <c r="BX95" s="72">
        <f t="shared" ref="BX95:BX96" si="762">M95</f>
        <v>63</v>
      </c>
      <c r="BY95" s="71">
        <f t="shared" ref="BY95:BY96" si="763">Q95</f>
        <v>95</v>
      </c>
      <c r="BZ95" s="72">
        <f t="shared" ref="BZ95:BZ96" si="764">U95</f>
        <v>99</v>
      </c>
      <c r="CA95" s="71">
        <f t="shared" ref="CA95:CA96" si="765">Y95</f>
        <v>135</v>
      </c>
      <c r="CB95" s="72">
        <f t="shared" ref="CB95:CB96" si="766">AC95</f>
        <v>143</v>
      </c>
      <c r="CC95" s="71">
        <f t="shared" ref="CC95:CC96" si="767">AG95</f>
        <v>183</v>
      </c>
      <c r="CD95" s="72">
        <f t="shared" ref="CD95:CD96" si="768">AK95</f>
        <v>190</v>
      </c>
      <c r="CE95" s="71">
        <f t="shared" ref="CE95:CE96" si="769">AO95</f>
        <v>431</v>
      </c>
      <c r="CF95" s="72">
        <f t="shared" ref="CF95:CF96" si="770">AS95</f>
        <v>473</v>
      </c>
      <c r="CG95" s="71">
        <f t="shared" ref="CG95:CG96" si="771">AW95</f>
        <v>499</v>
      </c>
      <c r="CH95" s="70">
        <f t="shared" ref="CH95:CH96" si="772">G95</f>
        <v>58</v>
      </c>
      <c r="CI95" s="71">
        <f t="shared" ref="CI95:CI96" si="773">K95</f>
        <v>62</v>
      </c>
      <c r="CJ95" s="72">
        <f t="shared" ref="CJ95:CJ96" si="774">O95</f>
        <v>94</v>
      </c>
      <c r="CK95" s="72">
        <f t="shared" ref="CK95:CK96" si="775">S95</f>
        <v>98</v>
      </c>
      <c r="CL95" s="72">
        <f t="shared" ref="CL95:CL96" si="776">W95</f>
        <v>134</v>
      </c>
      <c r="CM95" s="72">
        <f t="shared" ref="CM95:CM96" si="777">AA95</f>
        <v>142</v>
      </c>
      <c r="CN95" s="72">
        <f t="shared" ref="CN95:CN96" si="778">AE95</f>
        <v>174</v>
      </c>
      <c r="CO95" s="72">
        <f t="shared" ref="CO95:CO96" si="779">AI95</f>
        <v>185</v>
      </c>
      <c r="CP95" s="72">
        <f t="shared" ref="CP95:CP96" si="780">AM95</f>
        <v>230</v>
      </c>
      <c r="CQ95" s="72">
        <f t="shared" ref="CQ95:CQ96" si="781">AQ95</f>
        <v>468</v>
      </c>
      <c r="CR95" s="72">
        <f t="shared" ref="CR95:CR96" si="782">AU95</f>
        <v>498</v>
      </c>
      <c r="CS95" s="72">
        <f t="shared" ref="CS95:CS96" si="783">AY95</f>
        <v>511</v>
      </c>
      <c r="CT95" s="23">
        <f t="shared" ref="CT95:CT96" si="784">M95-K95</f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757"/>
        <v>acm5_human_6OL9</v>
      </c>
      <c r="B96" s="3" t="s">
        <v>150</v>
      </c>
      <c r="C96" s="3" t="s">
        <v>1617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58</v>
      </c>
      <c r="H96" s="3" t="str">
        <f>IFERROR(MID(VLOOKUP($B96,Seqs!$A:$B,2,0),I96,1),"")</f>
        <v>S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T</v>
      </c>
      <c r="M96" s="3">
        <v>63</v>
      </c>
      <c r="N96" s="3" t="str">
        <f>IFERROR(MID(VLOOKUP($B96,Seqs!$A:$B,2,0),O96,1),"")</f>
        <v>G</v>
      </c>
      <c r="O96" s="3">
        <v>94</v>
      </c>
      <c r="P96" s="3" t="str">
        <f>IFERROR(MID(VLOOKUP($B96,Seqs!$A:$B,2,0),Q96,1),"")</f>
        <v>R</v>
      </c>
      <c r="Q96" s="3">
        <v>95</v>
      </c>
      <c r="R96" s="3" t="str">
        <f>IFERROR(MID(VLOOKUP($B96,Seqs!$A:$B,2,0),S96,1),"")</f>
        <v>L</v>
      </c>
      <c r="S96" s="3">
        <v>98</v>
      </c>
      <c r="T96" s="3" t="str">
        <f>IFERROR(MID(VLOOKUP($B96,Seqs!$A:$B,2,0),U96,1),"")</f>
        <v>G</v>
      </c>
      <c r="U96" s="3">
        <v>99</v>
      </c>
      <c r="V96" s="3" t="str">
        <f>IFERROR(MID(VLOOKUP($B96,Seqs!$A:$B,2,0),W96,1),"")</f>
        <v>R</v>
      </c>
      <c r="W96" s="3">
        <v>134</v>
      </c>
      <c r="X96" s="3" t="str">
        <f>IFERROR(MID(VLOOKUP($B96,Seqs!$A:$B,2,0),Y96,1),"")</f>
        <v>P</v>
      </c>
      <c r="Y96" s="3">
        <v>135</v>
      </c>
      <c r="Z96" s="3" t="str">
        <f>IFERROR(MID(VLOOKUP($B96,Seqs!$A:$B,2,0),AA96,1),"")</f>
        <v>R</v>
      </c>
      <c r="AA96" s="3">
        <v>142</v>
      </c>
      <c r="AB96" s="3" t="str">
        <f>IFERROR(MID(VLOOKUP($B96,Seqs!$A:$B,2,0),AC96,1),"")</f>
        <v>T</v>
      </c>
      <c r="AC96" s="3">
        <v>143</v>
      </c>
      <c r="AD96" s="3" t="str">
        <f>IFERROR(MID(VLOOKUP($B96,Seqs!$A:$B,2,0),AE96,1),"")</f>
        <v>G</v>
      </c>
      <c r="AE96" s="3">
        <v>174</v>
      </c>
      <c r="AF96" s="3" t="str">
        <f>IFERROR(MID(VLOOKUP($B96,Seqs!$A:$B,2,0),AG96,1),"")</f>
        <v>C</v>
      </c>
      <c r="AG96" s="3">
        <v>183</v>
      </c>
      <c r="AH96" s="3" t="str">
        <f>IFERROR(MID(VLOOKUP($B96,Seqs!$A:$B,2,0),AI96,1),"")</f>
        <v>I</v>
      </c>
      <c r="AI96" s="3">
        <v>185</v>
      </c>
      <c r="AJ96" s="3" t="str">
        <f>IFERROR(MID(VLOOKUP($B96,Seqs!$A:$B,2,0),AK96,1),"")</f>
        <v>E</v>
      </c>
      <c r="AK96" s="3">
        <v>190</v>
      </c>
      <c r="AL96" s="3" t="str">
        <f>IFERROR(MID(VLOOKUP($B96,Seqs!$A:$B,2,0),AM96,1),"")</f>
        <v>T</v>
      </c>
      <c r="AM96" s="3">
        <v>220</v>
      </c>
      <c r="AN96" s="3" t="str">
        <f>IFERROR(MID(VLOOKUP($B96,Seqs!$A:$B,2,0),AO96,1),"")</f>
        <v>R</v>
      </c>
      <c r="AO96" s="3">
        <v>431</v>
      </c>
      <c r="AP96" s="3" t="str">
        <f>IFERROR(MID(VLOOKUP($B96,Seqs!$A:$B,2,0),AQ96,1),"")</f>
        <v>C</v>
      </c>
      <c r="AQ96" s="3">
        <v>468</v>
      </c>
      <c r="AR96" s="3" t="str">
        <f>IFERROR(MID(VLOOKUP($B96,Seqs!$A:$B,2,0),AS96,1),"")</f>
        <v>P</v>
      </c>
      <c r="AS96" s="3">
        <v>473</v>
      </c>
      <c r="AT96" s="3" t="str">
        <f>IFERROR(MID(VLOOKUP($B96,Seqs!$A:$B,2,0),AU96,1),"")</f>
        <v>C</v>
      </c>
      <c r="AU96" s="3">
        <v>498</v>
      </c>
      <c r="AV96" s="3" t="str">
        <f>IFERROR(MID(VLOOKUP($B96,Seqs!$A:$B,2,0),AW96,1),"")</f>
        <v>N</v>
      </c>
      <c r="AW96" s="3">
        <v>499</v>
      </c>
      <c r="AX96" s="3" t="str">
        <f>IFERROR(MID(VLOOKUP($B96,Seqs!$A:$B,2,0),AY96,1),"")</f>
        <v>L</v>
      </c>
      <c r="AY96" s="3">
        <v>511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58"/>
        <v>1</v>
      </c>
      <c r="BC96" s="23">
        <f t="shared" si="759"/>
        <v>260</v>
      </c>
      <c r="BD96" s="2" t="s">
        <v>1370</v>
      </c>
      <c r="BE96" s="3" t="s">
        <v>1368</v>
      </c>
      <c r="BF96" s="118">
        <v>2.54</v>
      </c>
      <c r="BG96" s="49" t="s">
        <v>1</v>
      </c>
      <c r="BH96" s="49" t="s">
        <v>1</v>
      </c>
      <c r="BI96" s="1"/>
      <c r="BJ96" s="70" t="s">
        <v>1281</v>
      </c>
      <c r="BK96" s="57" t="s">
        <v>1281</v>
      </c>
      <c r="BL96" s="57" t="s">
        <v>1281</v>
      </c>
      <c r="BM96" s="57" t="s">
        <v>1281</v>
      </c>
      <c r="BN96" s="57" t="s">
        <v>1281</v>
      </c>
      <c r="BO96" s="57" t="s">
        <v>1281</v>
      </c>
      <c r="BP96" s="57" t="s">
        <v>1281</v>
      </c>
      <c r="BQ96" s="57" t="s">
        <v>1281</v>
      </c>
      <c r="BR96" s="57" t="s">
        <v>1281</v>
      </c>
      <c r="BS96" s="57" t="s">
        <v>1281</v>
      </c>
      <c r="BT96" s="57" t="s">
        <v>1281</v>
      </c>
      <c r="BU96" s="57" t="s">
        <v>1281</v>
      </c>
      <c r="BV96" s="70">
        <f t="shared" si="760"/>
        <v>26</v>
      </c>
      <c r="BW96" s="71">
        <f t="shared" si="761"/>
        <v>59</v>
      </c>
      <c r="BX96" s="72">
        <f t="shared" si="762"/>
        <v>63</v>
      </c>
      <c r="BY96" s="71">
        <f t="shared" si="763"/>
        <v>95</v>
      </c>
      <c r="BZ96" s="72">
        <f t="shared" si="764"/>
        <v>99</v>
      </c>
      <c r="CA96" s="71">
        <f t="shared" si="765"/>
        <v>135</v>
      </c>
      <c r="CB96" s="72">
        <f t="shared" si="766"/>
        <v>143</v>
      </c>
      <c r="CC96" s="71">
        <f t="shared" si="767"/>
        <v>183</v>
      </c>
      <c r="CD96" s="72">
        <f t="shared" si="768"/>
        <v>190</v>
      </c>
      <c r="CE96" s="71">
        <f t="shared" si="769"/>
        <v>431</v>
      </c>
      <c r="CF96" s="72">
        <f t="shared" si="770"/>
        <v>473</v>
      </c>
      <c r="CG96" s="71">
        <f t="shared" si="771"/>
        <v>499</v>
      </c>
      <c r="CH96" s="70">
        <f t="shared" si="772"/>
        <v>58</v>
      </c>
      <c r="CI96" s="71">
        <f t="shared" si="773"/>
        <v>62</v>
      </c>
      <c r="CJ96" s="72">
        <f t="shared" si="774"/>
        <v>94</v>
      </c>
      <c r="CK96" s="72">
        <f t="shared" si="775"/>
        <v>98</v>
      </c>
      <c r="CL96" s="72">
        <f t="shared" si="776"/>
        <v>134</v>
      </c>
      <c r="CM96" s="72">
        <f t="shared" si="777"/>
        <v>142</v>
      </c>
      <c r="CN96" s="72">
        <f t="shared" si="778"/>
        <v>174</v>
      </c>
      <c r="CO96" s="72">
        <f t="shared" si="779"/>
        <v>185</v>
      </c>
      <c r="CP96" s="72">
        <f t="shared" si="780"/>
        <v>220</v>
      </c>
      <c r="CQ96" s="72">
        <f t="shared" si="781"/>
        <v>468</v>
      </c>
      <c r="CR96" s="72">
        <f t="shared" si="782"/>
        <v>498</v>
      </c>
      <c r="CS96" s="72">
        <f t="shared" si="783"/>
        <v>511</v>
      </c>
      <c r="CT96" s="23">
        <f t="shared" si="78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adrb1_melga__wt</v>
      </c>
      <c r="B97" s="3" t="s">
        <v>905</v>
      </c>
      <c r="C97" s="3" t="s">
        <v>100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245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272</v>
      </c>
      <c r="BD97" s="34" t="s">
        <v>23</v>
      </c>
      <c r="BE97" s="3" t="s">
        <v>23</v>
      </c>
      <c r="BF97" s="118" t="s">
        <v>23</v>
      </c>
      <c r="BG97" s="49" t="s">
        <v>1366</v>
      </c>
      <c r="BH97" s="49" t="s">
        <v>1371</v>
      </c>
      <c r="BI97" s="3" t="s">
        <v>1159</v>
      </c>
      <c r="BJ97" s="70" t="s">
        <v>1281</v>
      </c>
      <c r="BK97" s="57" t="s">
        <v>1281</v>
      </c>
      <c r="BL97" s="57" t="s">
        <v>1281</v>
      </c>
      <c r="BM97" s="57" t="s">
        <v>1281</v>
      </c>
      <c r="BN97" s="57" t="s">
        <v>1281</v>
      </c>
      <c r="BO97" s="57" t="s">
        <v>1281</v>
      </c>
      <c r="BP97" s="57" t="s">
        <v>1281</v>
      </c>
      <c r="BQ97" s="57" t="s">
        <v>1281</v>
      </c>
      <c r="BR97" s="57" t="s">
        <v>1281</v>
      </c>
      <c r="BS97" s="57" t="s">
        <v>1281</v>
      </c>
      <c r="BT97" s="57" t="s">
        <v>1281</v>
      </c>
      <c r="BU97" s="57" t="s">
        <v>1281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245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adrb1_melga_2Y00</v>
      </c>
      <c r="B98" s="3" t="s">
        <v>905</v>
      </c>
      <c r="C98" s="3" t="s">
        <v>1016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1368</v>
      </c>
      <c r="BF98" s="118">
        <v>2.5</v>
      </c>
      <c r="BG98" s="49" t="s">
        <v>1371</v>
      </c>
      <c r="BH98" s="49" t="s">
        <v>1371</v>
      </c>
      <c r="BI98" s="1"/>
      <c r="BJ98" s="70" t="s">
        <v>1281</v>
      </c>
      <c r="BK98" s="57" t="s">
        <v>1281</v>
      </c>
      <c r="BL98" s="57" t="s">
        <v>1281</v>
      </c>
      <c r="BM98" s="57" t="s">
        <v>1281</v>
      </c>
      <c r="BN98" s="57" t="s">
        <v>1281</v>
      </c>
      <c r="BO98" s="57" t="s">
        <v>1281</v>
      </c>
      <c r="BP98" s="57" t="s">
        <v>1281</v>
      </c>
      <c r="BQ98" s="57" t="s">
        <v>1281</v>
      </c>
      <c r="BR98" s="57" t="s">
        <v>1281</v>
      </c>
      <c r="BS98" s="57" t="s">
        <v>1281</v>
      </c>
      <c r="BT98" s="57" t="s">
        <v>1281</v>
      </c>
      <c r="BU98" s="57" t="s">
        <v>1281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adrb1_melga_2Y02</v>
      </c>
      <c r="B99" s="3" t="s">
        <v>905</v>
      </c>
      <c r="C99" s="3" t="s">
        <v>1017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1368</v>
      </c>
      <c r="BF99" s="118">
        <v>2.6</v>
      </c>
      <c r="BG99" s="49" t="s">
        <v>1371</v>
      </c>
      <c r="BH99" s="49" t="s">
        <v>1371</v>
      </c>
      <c r="BI99" s="1"/>
      <c r="BJ99" s="70" t="s">
        <v>1281</v>
      </c>
      <c r="BK99" s="57" t="s">
        <v>1281</v>
      </c>
      <c r="BL99" s="57" t="s">
        <v>1281</v>
      </c>
      <c r="BM99" s="57" t="s">
        <v>1281</v>
      </c>
      <c r="BN99" s="57" t="s">
        <v>1281</v>
      </c>
      <c r="BO99" s="57" t="s">
        <v>1281</v>
      </c>
      <c r="BP99" s="57" t="s">
        <v>1281</v>
      </c>
      <c r="BQ99" s="57" t="s">
        <v>1281</v>
      </c>
      <c r="BR99" s="57" t="s">
        <v>1281</v>
      </c>
      <c r="BS99" s="57" t="s">
        <v>1281</v>
      </c>
      <c r="BT99" s="57" t="s">
        <v>1281</v>
      </c>
      <c r="BU99" s="57" t="s">
        <v>1281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adrb1_melga_2Y03</v>
      </c>
      <c r="B100" s="3" t="s">
        <v>905</v>
      </c>
      <c r="C100" s="3" t="s">
        <v>1018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265</v>
      </c>
      <c r="BD100" s="4" t="s">
        <v>23</v>
      </c>
      <c r="BE100" s="3" t="s">
        <v>1368</v>
      </c>
      <c r="BF100" s="118">
        <v>2.85</v>
      </c>
      <c r="BG100" s="49" t="s">
        <v>1371</v>
      </c>
      <c r="BH100" s="49" t="s">
        <v>1371</v>
      </c>
      <c r="BI100" s="1"/>
      <c r="BJ100" s="70" t="s">
        <v>1281</v>
      </c>
      <c r="BK100" s="57" t="s">
        <v>1281</v>
      </c>
      <c r="BL100" s="57" t="s">
        <v>1281</v>
      </c>
      <c r="BM100" s="57" t="s">
        <v>1281</v>
      </c>
      <c r="BN100" s="57" t="s">
        <v>1281</v>
      </c>
      <c r="BO100" s="57" t="s">
        <v>1281</v>
      </c>
      <c r="BP100" s="57" t="s">
        <v>1281</v>
      </c>
      <c r="BQ100" s="57" t="s">
        <v>1281</v>
      </c>
      <c r="BR100" s="57" t="s">
        <v>1281</v>
      </c>
      <c r="BS100" s="57" t="s">
        <v>1281</v>
      </c>
      <c r="BT100" s="57" t="s">
        <v>1281</v>
      </c>
      <c r="BU100" s="57" t="s">
        <v>1281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adrb1_melga_2Y04</v>
      </c>
      <c r="B101" s="3" t="s">
        <v>905</v>
      </c>
      <c r="C101" s="3" t="s">
        <v>1019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265</v>
      </c>
      <c r="BD101" s="4" t="s">
        <v>23</v>
      </c>
      <c r="BE101" s="3" t="s">
        <v>1368</v>
      </c>
      <c r="BF101" s="118">
        <v>3.05</v>
      </c>
      <c r="BG101" s="49" t="s">
        <v>1371</v>
      </c>
      <c r="BH101" s="49" t="s">
        <v>1371</v>
      </c>
      <c r="BI101" s="1"/>
      <c r="BJ101" s="70" t="s">
        <v>1281</v>
      </c>
      <c r="BK101" s="57" t="s">
        <v>1281</v>
      </c>
      <c r="BL101" s="57" t="s">
        <v>1281</v>
      </c>
      <c r="BM101" s="57" t="s">
        <v>1281</v>
      </c>
      <c r="BN101" s="57" t="s">
        <v>1281</v>
      </c>
      <c r="BO101" s="57" t="s">
        <v>1281</v>
      </c>
      <c r="BP101" s="57" t="s">
        <v>1281</v>
      </c>
      <c r="BQ101" s="57" t="s">
        <v>1281</v>
      </c>
      <c r="BR101" s="57" t="s">
        <v>1281</v>
      </c>
      <c r="BS101" s="57" t="s">
        <v>1281</v>
      </c>
      <c r="BT101" s="57" t="s">
        <v>1281</v>
      </c>
      <c r="BU101" s="57" t="s">
        <v>1281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adrb1_melga_2YCW</v>
      </c>
      <c r="B102" s="3" t="s">
        <v>905</v>
      </c>
      <c r="C102" s="3" t="s">
        <v>1020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K</v>
      </c>
      <c r="AM102" s="3">
        <v>240</v>
      </c>
      <c r="AN102" s="3" t="str">
        <f>IFERROR(MID(VLOOKUP($B102,Seqs!$A:$B,2,0),AO102,1),"")</f>
        <v>L</v>
      </c>
      <c r="AO102" s="3">
        <v>289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249</v>
      </c>
      <c r="BD102" s="4" t="s">
        <v>23</v>
      </c>
      <c r="BE102" s="3" t="s">
        <v>1368</v>
      </c>
      <c r="BF102" s="118">
        <v>3</v>
      </c>
      <c r="BG102" s="49" t="s">
        <v>1371</v>
      </c>
      <c r="BH102" s="49" t="s">
        <v>1371</v>
      </c>
      <c r="BI102" s="1"/>
      <c r="BJ102" s="70" t="s">
        <v>1281</v>
      </c>
      <c r="BK102" s="57" t="s">
        <v>1281</v>
      </c>
      <c r="BL102" s="57" t="s">
        <v>1281</v>
      </c>
      <c r="BM102" s="57" t="s">
        <v>1281</v>
      </c>
      <c r="BN102" s="57" t="s">
        <v>1281</v>
      </c>
      <c r="BO102" s="57" t="s">
        <v>1281</v>
      </c>
      <c r="BP102" s="57" t="s">
        <v>1281</v>
      </c>
      <c r="BQ102" s="57" t="s">
        <v>1281</v>
      </c>
      <c r="BR102" s="57" t="s">
        <v>1281</v>
      </c>
      <c r="BS102" s="57" t="s">
        <v>1281</v>
      </c>
      <c r="BT102" s="57" t="s">
        <v>1281</v>
      </c>
      <c r="BU102" s="57" t="s">
        <v>1281</v>
      </c>
      <c r="BV102" s="70">
        <f t="shared" si="226"/>
        <v>37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289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240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adrb1_melga_2YCZ</v>
      </c>
      <c r="B103" s="3" t="s">
        <v>905</v>
      </c>
      <c r="C103" s="3" t="s">
        <v>1021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K</v>
      </c>
      <c r="AM103" s="3">
        <v>240</v>
      </c>
      <c r="AN103" s="3" t="str">
        <f>IFERROR(MID(VLOOKUP($B103,Seqs!$A:$B,2,0),AO103,1),"")</f>
        <v>A</v>
      </c>
      <c r="AO103" s="3">
        <v>288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254</v>
      </c>
      <c r="BD103" s="16" t="s">
        <v>23</v>
      </c>
      <c r="BE103" s="3" t="s">
        <v>1368</v>
      </c>
      <c r="BF103" s="118">
        <v>3.65</v>
      </c>
      <c r="BG103" s="49" t="s">
        <v>1371</v>
      </c>
      <c r="BH103" s="49" t="s">
        <v>1371</v>
      </c>
      <c r="BI103" s="1"/>
      <c r="BJ103" s="70" t="s">
        <v>1281</v>
      </c>
      <c r="BK103" s="57" t="s">
        <v>1281</v>
      </c>
      <c r="BL103" s="57" t="s">
        <v>1281</v>
      </c>
      <c r="BM103" s="57" t="s">
        <v>1281</v>
      </c>
      <c r="BN103" s="57" t="s">
        <v>1281</v>
      </c>
      <c r="BO103" s="57" t="s">
        <v>1281</v>
      </c>
      <c r="BP103" s="57" t="s">
        <v>1281</v>
      </c>
      <c r="BQ103" s="57" t="s">
        <v>1281</v>
      </c>
      <c r="BR103" s="57" t="s">
        <v>1281</v>
      </c>
      <c r="BS103" s="57" t="s">
        <v>1281</v>
      </c>
      <c r="BT103" s="57" t="s">
        <v>1281</v>
      </c>
      <c r="BU103" s="57" t="s">
        <v>1281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288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240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adrb1_melga_3ZPQ</v>
      </c>
      <c r="B104" s="3" t="s">
        <v>905</v>
      </c>
      <c r="C104" s="3" t="s">
        <v>1031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I</v>
      </c>
      <c r="AM104" s="3">
        <v>238</v>
      </c>
      <c r="AN104" s="3" t="str">
        <f>IFERROR(MID(VLOOKUP($B104,Seqs!$A:$B,2,0),AO104,1),"")</f>
        <v>R</v>
      </c>
      <c r="AO104" s="3">
        <v>275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265</v>
      </c>
      <c r="BD104" s="4" t="s">
        <v>23</v>
      </c>
      <c r="BE104" s="3" t="s">
        <v>1368</v>
      </c>
      <c r="BF104" s="118">
        <v>2.8</v>
      </c>
      <c r="BG104" s="49" t="s">
        <v>1371</v>
      </c>
      <c r="BH104" s="49" t="s">
        <v>1371</v>
      </c>
      <c r="BI104" s="1"/>
      <c r="BJ104" s="70" t="s">
        <v>1281</v>
      </c>
      <c r="BK104" s="57" t="s">
        <v>1281</v>
      </c>
      <c r="BL104" s="57" t="s">
        <v>1281</v>
      </c>
      <c r="BM104" s="57" t="s">
        <v>1281</v>
      </c>
      <c r="BN104" s="57" t="s">
        <v>1281</v>
      </c>
      <c r="BO104" s="57" t="s">
        <v>1281</v>
      </c>
      <c r="BP104" s="57" t="s">
        <v>1281</v>
      </c>
      <c r="BQ104" s="57" t="s">
        <v>1281</v>
      </c>
      <c r="BR104" s="57" t="s">
        <v>1281</v>
      </c>
      <c r="BS104" s="57" t="s">
        <v>1281</v>
      </c>
      <c r="BT104" s="57" t="s">
        <v>1281</v>
      </c>
      <c r="BU104" s="57" t="s">
        <v>1281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275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238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adrb1_melga_3ZPR</v>
      </c>
      <c r="B105" s="3" t="s">
        <v>905</v>
      </c>
      <c r="C105" s="3" t="s">
        <v>1032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4" t="s">
        <v>23</v>
      </c>
      <c r="BE105" s="3" t="s">
        <v>1368</v>
      </c>
      <c r="BF105" s="118">
        <v>2.7</v>
      </c>
      <c r="BG105" s="49" t="s">
        <v>1371</v>
      </c>
      <c r="BH105" s="49" t="s">
        <v>1371</v>
      </c>
      <c r="BI105" s="1"/>
      <c r="BJ105" s="70" t="s">
        <v>1281</v>
      </c>
      <c r="BK105" s="57" t="s">
        <v>1281</v>
      </c>
      <c r="BL105" s="57" t="s">
        <v>1281</v>
      </c>
      <c r="BM105" s="57" t="s">
        <v>1281</v>
      </c>
      <c r="BN105" s="57" t="s">
        <v>1281</v>
      </c>
      <c r="BO105" s="57" t="s">
        <v>1281</v>
      </c>
      <c r="BP105" s="57" t="s">
        <v>1281</v>
      </c>
      <c r="BQ105" s="57" t="s">
        <v>1281</v>
      </c>
      <c r="BR105" s="57" t="s">
        <v>1281</v>
      </c>
      <c r="BS105" s="57" t="s">
        <v>1281</v>
      </c>
      <c r="BT105" s="57" t="s">
        <v>1281</v>
      </c>
      <c r="BU105" s="57" t="s">
        <v>1281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adrb1_melga_4AMI</v>
      </c>
      <c r="B106" s="3" t="s">
        <v>905</v>
      </c>
      <c r="C106" s="3" t="s">
        <v>1033</v>
      </c>
      <c r="D106" s="3" t="str">
        <f>IFERROR(MID(VLOOKUP($B106,Seqs!$A:$B,2,0),E106,1),"")</f>
        <v>A</v>
      </c>
      <c r="E106" s="3">
        <v>33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E</v>
      </c>
      <c r="AM106" s="3">
        <v>236</v>
      </c>
      <c r="AN106" s="3" t="str">
        <f>IFERROR(MID(VLOOKUP($B106,Seqs!$A:$B,2,0),AO106,1),"")</f>
        <v>A</v>
      </c>
      <c r="AO106" s="3">
        <v>288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si="225"/>
        <v>250</v>
      </c>
      <c r="BD106" s="4" t="s">
        <v>23</v>
      </c>
      <c r="BE106" s="3" t="s">
        <v>1368</v>
      </c>
      <c r="BF106" s="118">
        <v>3.2</v>
      </c>
      <c r="BG106" s="49" t="s">
        <v>1371</v>
      </c>
      <c r="BH106" s="49" t="s">
        <v>1371</v>
      </c>
      <c r="BI106" s="1"/>
      <c r="BJ106" s="70" t="s">
        <v>1281</v>
      </c>
      <c r="BK106" s="57" t="s">
        <v>1281</v>
      </c>
      <c r="BL106" s="57" t="s">
        <v>1281</v>
      </c>
      <c r="BM106" s="57" t="s">
        <v>1281</v>
      </c>
      <c r="BN106" s="57" t="s">
        <v>1281</v>
      </c>
      <c r="BO106" s="57" t="s">
        <v>1281</v>
      </c>
      <c r="BP106" s="57" t="s">
        <v>1281</v>
      </c>
      <c r="BQ106" s="57" t="s">
        <v>1281</v>
      </c>
      <c r="BR106" s="57" t="s">
        <v>1281</v>
      </c>
      <c r="BS106" s="57" t="s">
        <v>1281</v>
      </c>
      <c r="BT106" s="57" t="s">
        <v>1281</v>
      </c>
      <c r="BU106" s="57" t="s">
        <v>1281</v>
      </c>
      <c r="BV106" s="70">
        <f t="shared" si="226"/>
        <v>33</v>
      </c>
      <c r="BW106" s="71">
        <f t="shared" si="227"/>
        <v>70</v>
      </c>
      <c r="BX106" s="72">
        <f t="shared" si="228"/>
        <v>74</v>
      </c>
      <c r="BY106" s="71">
        <f t="shared" si="229"/>
        <v>106</v>
      </c>
      <c r="BZ106" s="72">
        <f t="shared" si="230"/>
        <v>110</v>
      </c>
      <c r="CA106" s="71">
        <f t="shared" si="231"/>
        <v>146</v>
      </c>
      <c r="CB106" s="72">
        <f t="shared" si="232"/>
        <v>154</v>
      </c>
      <c r="CC106" s="71">
        <f t="shared" si="233"/>
        <v>199</v>
      </c>
      <c r="CD106" s="72">
        <f t="shared" si="234"/>
        <v>204</v>
      </c>
      <c r="CE106" s="71">
        <f t="shared" si="235"/>
        <v>288</v>
      </c>
      <c r="CF106" s="72">
        <f t="shared" si="236"/>
        <v>321</v>
      </c>
      <c r="CG106" s="71">
        <f t="shared" si="237"/>
        <v>346</v>
      </c>
      <c r="CH106" s="70">
        <f t="shared" si="238"/>
        <v>69</v>
      </c>
      <c r="CI106" s="71">
        <f t="shared" si="239"/>
        <v>73</v>
      </c>
      <c r="CJ106" s="72">
        <f t="shared" si="240"/>
        <v>104</v>
      </c>
      <c r="CK106" s="72">
        <f t="shared" si="241"/>
        <v>109</v>
      </c>
      <c r="CL106" s="72">
        <f t="shared" si="242"/>
        <v>145</v>
      </c>
      <c r="CM106" s="72">
        <f t="shared" si="243"/>
        <v>153</v>
      </c>
      <c r="CN106" s="72">
        <f t="shared" si="244"/>
        <v>180</v>
      </c>
      <c r="CO106" s="72">
        <f t="shared" si="245"/>
        <v>201</v>
      </c>
      <c r="CP106" s="72">
        <f t="shared" si="246"/>
        <v>236</v>
      </c>
      <c r="CQ106" s="72">
        <f t="shared" si="247"/>
        <v>316</v>
      </c>
      <c r="CR106" s="72">
        <f t="shared" si="248"/>
        <v>345</v>
      </c>
      <c r="CS106" s="72">
        <f t="shared" si="249"/>
        <v>358</v>
      </c>
      <c r="CT106" s="23">
        <f t="shared" si="25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adrb1_melga_4AMJ</v>
      </c>
      <c r="B107" s="3" t="s">
        <v>905</v>
      </c>
      <c r="C107" s="3" t="s">
        <v>1034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I</v>
      </c>
      <c r="AM107" s="3">
        <v>238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225"/>
        <v>265</v>
      </c>
      <c r="BD107" s="2" t="s">
        <v>1370</v>
      </c>
      <c r="BE107" s="3" t="s">
        <v>1368</v>
      </c>
      <c r="BF107" s="118">
        <v>2.2999999999999998</v>
      </c>
      <c r="BG107" s="49" t="s">
        <v>1371</v>
      </c>
      <c r="BH107" s="49" t="s">
        <v>1371</v>
      </c>
      <c r="BI107" s="1"/>
      <c r="BJ107" s="70" t="s">
        <v>1281</v>
      </c>
      <c r="BK107" s="57" t="s">
        <v>1281</v>
      </c>
      <c r="BL107" s="57" t="s">
        <v>1281</v>
      </c>
      <c r="BM107" s="57" t="s">
        <v>1281</v>
      </c>
      <c r="BN107" s="57" t="s">
        <v>1281</v>
      </c>
      <c r="BO107" s="57" t="s">
        <v>1281</v>
      </c>
      <c r="BP107" s="57" t="s">
        <v>1281</v>
      </c>
      <c r="BQ107" s="57" t="s">
        <v>1281</v>
      </c>
      <c r="BR107" s="57" t="s">
        <v>1281</v>
      </c>
      <c r="BS107" s="57" t="s">
        <v>1281</v>
      </c>
      <c r="BT107" s="57" t="s">
        <v>1281</v>
      </c>
      <c r="BU107" s="57" t="s">
        <v>1281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104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238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adrb1_melga_4BVN</v>
      </c>
      <c r="B108" s="3" t="s">
        <v>905</v>
      </c>
      <c r="C108" s="3" t="s">
        <v>82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ref="BC108:BC195" si="785">_xlfn.AGGREGATE(9,6,CH108:CS108)-_xlfn.AGGREGATE(9,6,BV108:CG108)+12</f>
        <v>258</v>
      </c>
      <c r="BD108" s="4" t="s">
        <v>23</v>
      </c>
      <c r="BE108" s="3" t="s">
        <v>1368</v>
      </c>
      <c r="BF108" s="118">
        <v>2.1</v>
      </c>
      <c r="BG108" s="49" t="s">
        <v>1371</v>
      </c>
      <c r="BH108" s="49" t="s">
        <v>1371</v>
      </c>
      <c r="BI108" s="1"/>
      <c r="BJ108" s="70" t="s">
        <v>1281</v>
      </c>
      <c r="BK108" s="57" t="s">
        <v>1281</v>
      </c>
      <c r="BL108" s="57" t="s">
        <v>1281</v>
      </c>
      <c r="BM108" s="57" t="s">
        <v>1281</v>
      </c>
      <c r="BN108" s="57" t="s">
        <v>1281</v>
      </c>
      <c r="BO108" s="57" t="s">
        <v>1281</v>
      </c>
      <c r="BP108" s="57" t="s">
        <v>1281</v>
      </c>
      <c r="BQ108" s="57" t="s">
        <v>1281</v>
      </c>
      <c r="BR108" s="57" t="s">
        <v>1281</v>
      </c>
      <c r="BS108" s="57" t="s">
        <v>1281</v>
      </c>
      <c r="BT108" s="57" t="s">
        <v>1281</v>
      </c>
      <c r="BU108" s="57" t="s">
        <v>1281</v>
      </c>
      <c r="BV108" s="70">
        <f t="shared" ref="BV108:BV195" si="786">E108</f>
        <v>37</v>
      </c>
      <c r="BW108" s="71">
        <f t="shared" ref="BW108:BW195" si="787">I108</f>
        <v>70</v>
      </c>
      <c r="BX108" s="72">
        <f t="shared" ref="BX108:BX195" si="788">M108</f>
        <v>74</v>
      </c>
      <c r="BY108" s="71">
        <f t="shared" ref="BY108:BY195" si="789">Q108</f>
        <v>106</v>
      </c>
      <c r="BZ108" s="72">
        <f t="shared" ref="BZ108:BZ195" si="790">U108</f>
        <v>110</v>
      </c>
      <c r="CA108" s="71">
        <f t="shared" ref="CA108:CA195" si="791">Y108</f>
        <v>146</v>
      </c>
      <c r="CB108" s="72">
        <f t="shared" ref="CB108:CB195" si="792">AC108</f>
        <v>154</v>
      </c>
      <c r="CC108" s="71">
        <f t="shared" ref="CC108:CC195" si="793">AG108</f>
        <v>199</v>
      </c>
      <c r="CD108" s="72">
        <f t="shared" ref="CD108:CD195" si="794">AK108</f>
        <v>204</v>
      </c>
      <c r="CE108" s="71">
        <f t="shared" ref="CE108:CE195" si="795">AO108</f>
        <v>279</v>
      </c>
      <c r="CF108" s="72">
        <f t="shared" ref="CF108:CF195" si="796">AS108</f>
        <v>321</v>
      </c>
      <c r="CG108" s="71">
        <f t="shared" ref="CG108:CG195" si="797">AW108</f>
        <v>346</v>
      </c>
      <c r="CH108" s="70">
        <f t="shared" ref="CH108:CH195" si="798">G108</f>
        <v>69</v>
      </c>
      <c r="CI108" s="71">
        <f t="shared" ref="CI108:CI195" si="799">K108</f>
        <v>73</v>
      </c>
      <c r="CJ108" s="72">
        <f t="shared" ref="CJ108:CJ195" si="800">O108</f>
        <v>104</v>
      </c>
      <c r="CK108" s="72">
        <f t="shared" ref="CK108:CK195" si="801">S108</f>
        <v>109</v>
      </c>
      <c r="CL108" s="72">
        <f t="shared" ref="CL108:CL195" si="802">W108</f>
        <v>145</v>
      </c>
      <c r="CM108" s="72">
        <f t="shared" ref="CM108:CM195" si="803">AA108</f>
        <v>153</v>
      </c>
      <c r="CN108" s="72">
        <f t="shared" ref="CN108:CN195" si="804">AE108</f>
        <v>180</v>
      </c>
      <c r="CO108" s="72">
        <f t="shared" ref="CO108:CO195" si="805">AI108</f>
        <v>201</v>
      </c>
      <c r="CP108" s="72">
        <f t="shared" ref="CP108:CP195" si="806">AM108</f>
        <v>239</v>
      </c>
      <c r="CQ108" s="72">
        <f t="shared" ref="CQ108:CQ195" si="807">AQ108</f>
        <v>316</v>
      </c>
      <c r="CR108" s="72">
        <f t="shared" ref="CR108:CR195" si="808">AU108</f>
        <v>345</v>
      </c>
      <c r="CS108" s="72">
        <f t="shared" ref="CS108:CS195" si="809">AY108</f>
        <v>358</v>
      </c>
      <c r="CT108" s="23">
        <f t="shared" ref="CT108:CT195" si="810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adrb1_melga_4GPO</v>
      </c>
      <c r="B109" s="3" t="s">
        <v>905</v>
      </c>
      <c r="C109" s="3" t="s">
        <v>1035</v>
      </c>
      <c r="D109" s="3" t="str">
        <f>IFERROR(MID(VLOOKUP($B109,Seqs!$A:$B,2,0),E109,1),"")</f>
        <v>S</v>
      </c>
      <c r="E109" s="3">
        <v>37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E</v>
      </c>
      <c r="AM109" s="3">
        <v>233</v>
      </c>
      <c r="AN109" s="3" t="str">
        <f>IFERROR(MID(VLOOKUP($B109,Seqs!$A:$B,2,0),AO109,1),"")</f>
        <v>M</v>
      </c>
      <c r="AO109" s="3">
        <v>283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L</v>
      </c>
      <c r="AY109" s="3">
        <v>356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85"/>
        <v>246</v>
      </c>
      <c r="BD109" s="4" t="s">
        <v>23</v>
      </c>
      <c r="BE109" s="3" t="s">
        <v>1368</v>
      </c>
      <c r="BF109" s="118">
        <v>3.5</v>
      </c>
      <c r="BG109" s="49" t="s">
        <v>1371</v>
      </c>
      <c r="BH109" s="49" t="s">
        <v>1371</v>
      </c>
      <c r="BI109" s="1"/>
      <c r="BJ109" s="70" t="s">
        <v>1281</v>
      </c>
      <c r="BK109" s="57" t="s">
        <v>1281</v>
      </c>
      <c r="BL109" s="57" t="s">
        <v>1281</v>
      </c>
      <c r="BM109" s="57" t="s">
        <v>1281</v>
      </c>
      <c r="BN109" s="57" t="s">
        <v>1281</v>
      </c>
      <c r="BO109" s="57" t="s">
        <v>1281</v>
      </c>
      <c r="BP109" s="57" t="s">
        <v>1281</v>
      </c>
      <c r="BQ109" s="57" t="s">
        <v>1281</v>
      </c>
      <c r="BR109" s="57" t="s">
        <v>1281</v>
      </c>
      <c r="BS109" s="57" t="s">
        <v>1281</v>
      </c>
      <c r="BT109" s="57" t="s">
        <v>1281</v>
      </c>
      <c r="BU109" s="57" t="s">
        <v>1281</v>
      </c>
      <c r="BV109" s="70">
        <f t="shared" si="786"/>
        <v>37</v>
      </c>
      <c r="BW109" s="71">
        <f t="shared" si="787"/>
        <v>70</v>
      </c>
      <c r="BX109" s="72">
        <f t="shared" si="788"/>
        <v>74</v>
      </c>
      <c r="BY109" s="71">
        <f t="shared" si="789"/>
        <v>106</v>
      </c>
      <c r="BZ109" s="72">
        <f t="shared" si="790"/>
        <v>110</v>
      </c>
      <c r="CA109" s="71">
        <f t="shared" si="791"/>
        <v>146</v>
      </c>
      <c r="CB109" s="72">
        <f t="shared" si="792"/>
        <v>154</v>
      </c>
      <c r="CC109" s="71">
        <f t="shared" si="793"/>
        <v>199</v>
      </c>
      <c r="CD109" s="72">
        <f t="shared" si="794"/>
        <v>204</v>
      </c>
      <c r="CE109" s="71">
        <f t="shared" si="795"/>
        <v>283</v>
      </c>
      <c r="CF109" s="72">
        <f t="shared" si="796"/>
        <v>321</v>
      </c>
      <c r="CG109" s="71">
        <f t="shared" si="797"/>
        <v>346</v>
      </c>
      <c r="CH109" s="70">
        <f t="shared" si="798"/>
        <v>69</v>
      </c>
      <c r="CI109" s="71">
        <f t="shared" si="799"/>
        <v>73</v>
      </c>
      <c r="CJ109" s="72">
        <f t="shared" si="800"/>
        <v>104</v>
      </c>
      <c r="CK109" s="72">
        <f t="shared" si="801"/>
        <v>109</v>
      </c>
      <c r="CL109" s="72">
        <f t="shared" si="802"/>
        <v>145</v>
      </c>
      <c r="CM109" s="72">
        <f t="shared" si="803"/>
        <v>153</v>
      </c>
      <c r="CN109" s="72">
        <f t="shared" si="804"/>
        <v>180</v>
      </c>
      <c r="CO109" s="72">
        <f t="shared" si="805"/>
        <v>201</v>
      </c>
      <c r="CP109" s="72">
        <f t="shared" si="806"/>
        <v>233</v>
      </c>
      <c r="CQ109" s="72">
        <f t="shared" si="807"/>
        <v>316</v>
      </c>
      <c r="CR109" s="72">
        <f t="shared" si="808"/>
        <v>345</v>
      </c>
      <c r="CS109" s="72">
        <f t="shared" si="809"/>
        <v>356</v>
      </c>
      <c r="CT109" s="23">
        <f t="shared" si="81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03"/>
        <v>adrb1_melga_5A8E</v>
      </c>
      <c r="B110" s="3" t="s">
        <v>905</v>
      </c>
      <c r="C110" s="3" t="s">
        <v>1052</v>
      </c>
      <c r="D110" s="3" t="str">
        <f>IFERROR(MID(VLOOKUP($B110,Seqs!$A:$B,2,0),E110,1),"")</f>
        <v>S</v>
      </c>
      <c r="E110" s="3">
        <v>37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R</v>
      </c>
      <c r="O110" s="3">
        <v>104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R</v>
      </c>
      <c r="AM110" s="3">
        <v>239</v>
      </c>
      <c r="AN110" s="3" t="str">
        <f>IFERROR(MID(VLOOKUP($B110,Seqs!$A:$B,2,0),AO110,1),"")</f>
        <v>R</v>
      </c>
      <c r="AO110" s="3">
        <v>279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K</v>
      </c>
      <c r="AY110" s="3">
        <v>354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04"/>
        <v>1</v>
      </c>
      <c r="BC110" s="23">
        <f t="shared" si="785"/>
        <v>254</v>
      </c>
      <c r="BD110" s="4" t="s">
        <v>23</v>
      </c>
      <c r="BE110" s="3" t="s">
        <v>1368</v>
      </c>
      <c r="BF110" s="118">
        <v>2.42</v>
      </c>
      <c r="BG110" s="49" t="s">
        <v>1371</v>
      </c>
      <c r="BH110" s="49" t="s">
        <v>1371</v>
      </c>
      <c r="BI110" s="1"/>
      <c r="BJ110" s="70" t="s">
        <v>1281</v>
      </c>
      <c r="BK110" s="57" t="s">
        <v>1281</v>
      </c>
      <c r="BL110" s="57" t="s">
        <v>1281</v>
      </c>
      <c r="BM110" s="57" t="s">
        <v>1281</v>
      </c>
      <c r="BN110" s="57" t="s">
        <v>1281</v>
      </c>
      <c r="BO110" s="57" t="s">
        <v>1281</v>
      </c>
      <c r="BP110" s="57" t="s">
        <v>1281</v>
      </c>
      <c r="BQ110" s="57" t="s">
        <v>1281</v>
      </c>
      <c r="BR110" s="57" t="s">
        <v>1281</v>
      </c>
      <c r="BS110" s="57" t="s">
        <v>1281</v>
      </c>
      <c r="BT110" s="57" t="s">
        <v>1281</v>
      </c>
      <c r="BU110" s="57" t="s">
        <v>1281</v>
      </c>
      <c r="BV110" s="70">
        <f t="shared" si="786"/>
        <v>37</v>
      </c>
      <c r="BW110" s="71">
        <f t="shared" si="787"/>
        <v>70</v>
      </c>
      <c r="BX110" s="72">
        <f t="shared" si="788"/>
        <v>74</v>
      </c>
      <c r="BY110" s="71">
        <f t="shared" si="789"/>
        <v>106</v>
      </c>
      <c r="BZ110" s="72">
        <f t="shared" si="790"/>
        <v>110</v>
      </c>
      <c r="CA110" s="71">
        <f t="shared" si="791"/>
        <v>146</v>
      </c>
      <c r="CB110" s="72">
        <f t="shared" si="792"/>
        <v>154</v>
      </c>
      <c r="CC110" s="71">
        <f t="shared" si="793"/>
        <v>199</v>
      </c>
      <c r="CD110" s="72">
        <f t="shared" si="794"/>
        <v>204</v>
      </c>
      <c r="CE110" s="71">
        <f t="shared" si="795"/>
        <v>279</v>
      </c>
      <c r="CF110" s="72">
        <f t="shared" si="796"/>
        <v>321</v>
      </c>
      <c r="CG110" s="71">
        <f t="shared" si="797"/>
        <v>346</v>
      </c>
      <c r="CH110" s="70">
        <f t="shared" si="798"/>
        <v>69</v>
      </c>
      <c r="CI110" s="71">
        <f t="shared" si="799"/>
        <v>73</v>
      </c>
      <c r="CJ110" s="72">
        <f t="shared" si="800"/>
        <v>104</v>
      </c>
      <c r="CK110" s="72">
        <f t="shared" si="801"/>
        <v>109</v>
      </c>
      <c r="CL110" s="72">
        <f t="shared" si="802"/>
        <v>145</v>
      </c>
      <c r="CM110" s="72">
        <f t="shared" si="803"/>
        <v>153</v>
      </c>
      <c r="CN110" s="72">
        <f t="shared" si="804"/>
        <v>180</v>
      </c>
      <c r="CO110" s="72">
        <f t="shared" si="805"/>
        <v>201</v>
      </c>
      <c r="CP110" s="72">
        <f t="shared" si="806"/>
        <v>239</v>
      </c>
      <c r="CQ110" s="72">
        <f t="shared" si="807"/>
        <v>316</v>
      </c>
      <c r="CR110" s="72">
        <f t="shared" si="808"/>
        <v>345</v>
      </c>
      <c r="CS110" s="72">
        <f t="shared" si="809"/>
        <v>354</v>
      </c>
      <c r="CT110" s="23">
        <f t="shared" si="81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03"/>
        <v>adrb1_melga_5F8U</v>
      </c>
      <c r="B111" s="3" t="s">
        <v>905</v>
      </c>
      <c r="C111" s="3" t="s">
        <v>1348</v>
      </c>
      <c r="D111" s="3" t="str">
        <f>IFERROR(MID(VLOOKUP($B111,Seqs!$A:$B,2,0),E111,1),"")</f>
        <v>W</v>
      </c>
      <c r="E111" s="3">
        <v>40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R</v>
      </c>
      <c r="O111" s="3">
        <v>104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Q</v>
      </c>
      <c r="AM111" s="3">
        <v>237</v>
      </c>
      <c r="AN111" s="3" t="str">
        <f>IFERROR(MID(VLOOKUP($B111,Seqs!$A:$B,2,0),AO111,1),"")</f>
        <v>R</v>
      </c>
      <c r="AO111" s="3">
        <v>284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04"/>
        <v>1</v>
      </c>
      <c r="BC111" s="23">
        <f t="shared" si="785"/>
        <v>248</v>
      </c>
      <c r="BD111" s="5" t="s">
        <v>23</v>
      </c>
      <c r="BE111" s="3" t="s">
        <v>1368</v>
      </c>
      <c r="BF111" s="118">
        <v>3.35</v>
      </c>
      <c r="BG111" s="49" t="s">
        <v>1371</v>
      </c>
      <c r="BH111" s="49" t="s">
        <v>1371</v>
      </c>
      <c r="BI111" s="1"/>
      <c r="BJ111" s="70" t="s">
        <v>1281</v>
      </c>
      <c r="BK111" s="57" t="s">
        <v>1281</v>
      </c>
      <c r="BL111" s="57" t="s">
        <v>1281</v>
      </c>
      <c r="BM111" s="57" t="s">
        <v>1281</v>
      </c>
      <c r="BN111" s="57" t="s">
        <v>1281</v>
      </c>
      <c r="BO111" s="57" t="s">
        <v>1281</v>
      </c>
      <c r="BP111" s="57" t="s">
        <v>1281</v>
      </c>
      <c r="BQ111" s="57" t="s">
        <v>1281</v>
      </c>
      <c r="BR111" s="57" t="s">
        <v>1281</v>
      </c>
      <c r="BS111" s="57" t="s">
        <v>1281</v>
      </c>
      <c r="BT111" s="57" t="s">
        <v>1281</v>
      </c>
      <c r="BU111" s="57" t="s">
        <v>1281</v>
      </c>
      <c r="BV111" s="70">
        <f t="shared" si="786"/>
        <v>40</v>
      </c>
      <c r="BW111" s="71">
        <f t="shared" si="787"/>
        <v>70</v>
      </c>
      <c r="BX111" s="72">
        <f t="shared" si="788"/>
        <v>74</v>
      </c>
      <c r="BY111" s="71">
        <f t="shared" si="789"/>
        <v>106</v>
      </c>
      <c r="BZ111" s="72">
        <f t="shared" si="790"/>
        <v>110</v>
      </c>
      <c r="CA111" s="71">
        <f t="shared" si="791"/>
        <v>146</v>
      </c>
      <c r="CB111" s="72">
        <f t="shared" si="792"/>
        <v>154</v>
      </c>
      <c r="CC111" s="71">
        <f t="shared" si="793"/>
        <v>199</v>
      </c>
      <c r="CD111" s="72">
        <f t="shared" si="794"/>
        <v>204</v>
      </c>
      <c r="CE111" s="71">
        <f t="shared" si="795"/>
        <v>284</v>
      </c>
      <c r="CF111" s="72">
        <f t="shared" si="796"/>
        <v>321</v>
      </c>
      <c r="CG111" s="71">
        <f t="shared" si="797"/>
        <v>346</v>
      </c>
      <c r="CH111" s="70">
        <f t="shared" si="798"/>
        <v>69</v>
      </c>
      <c r="CI111" s="71">
        <f t="shared" si="799"/>
        <v>73</v>
      </c>
      <c r="CJ111" s="72">
        <f t="shared" si="800"/>
        <v>104</v>
      </c>
      <c r="CK111" s="72">
        <f t="shared" si="801"/>
        <v>109</v>
      </c>
      <c r="CL111" s="72">
        <f t="shared" si="802"/>
        <v>145</v>
      </c>
      <c r="CM111" s="72">
        <f t="shared" si="803"/>
        <v>153</v>
      </c>
      <c r="CN111" s="72">
        <f t="shared" si="804"/>
        <v>180</v>
      </c>
      <c r="CO111" s="72">
        <f t="shared" si="805"/>
        <v>201</v>
      </c>
      <c r="CP111" s="72">
        <f t="shared" si="806"/>
        <v>237</v>
      </c>
      <c r="CQ111" s="72">
        <f t="shared" si="807"/>
        <v>316</v>
      </c>
      <c r="CR111" s="72">
        <f t="shared" si="808"/>
        <v>345</v>
      </c>
      <c r="CS111" s="72">
        <f t="shared" si="809"/>
        <v>358</v>
      </c>
      <c r="CT111" s="23">
        <f t="shared" si="81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ref="A112" si="811">CONCATENATE(B112,"_",C112)</f>
        <v>adrb1_melga_6H7J</v>
      </c>
      <c r="B112" s="3" t="s">
        <v>905</v>
      </c>
      <c r="C112" s="3" t="s">
        <v>1513</v>
      </c>
      <c r="D112" s="3" t="str">
        <f>IFERROR(MID(VLOOKUP($B112,Seqs!$A:$B,2,0),E112,1),"")</f>
        <v>W</v>
      </c>
      <c r="E112" s="3">
        <v>40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R</v>
      </c>
      <c r="O112" s="3">
        <v>104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3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S</v>
      </c>
      <c r="AM112" s="3">
        <v>273</v>
      </c>
      <c r="AN112" s="3" t="str">
        <f>IFERROR(MID(VLOOKUP($B112,Seqs!$A:$B,2,0),AO112,1),"")</f>
        <v>A</v>
      </c>
      <c r="AO112" s="3">
        <v>282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L</v>
      </c>
      <c r="AY112" s="3">
        <v>357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23">
        <f t="shared" ref="BC112" si="813">_xlfn.AGGREGATE(9,6,CH112:CS112)-_xlfn.AGGREGATE(9,6,BV112:CG112)+12</f>
        <v>285</v>
      </c>
      <c r="BD112" s="5" t="s">
        <v>23</v>
      </c>
      <c r="BE112" s="3" t="s">
        <v>1285</v>
      </c>
      <c r="BF112" s="118">
        <v>2.8</v>
      </c>
      <c r="BG112" s="49" t="s">
        <v>1</v>
      </c>
      <c r="BH112" s="49" t="s">
        <v>1</v>
      </c>
      <c r="BI112" s="1"/>
      <c r="BJ112" s="70" t="s">
        <v>1281</v>
      </c>
      <c r="BK112" s="57" t="s">
        <v>1281</v>
      </c>
      <c r="BL112" s="57" t="s">
        <v>1281</v>
      </c>
      <c r="BM112" s="57" t="s">
        <v>1281</v>
      </c>
      <c r="BN112" s="57" t="s">
        <v>1281</v>
      </c>
      <c r="BO112" s="57" t="s">
        <v>1281</v>
      </c>
      <c r="BP112" s="57" t="s">
        <v>1281</v>
      </c>
      <c r="BQ112" s="57" t="s">
        <v>1281</v>
      </c>
      <c r="BR112" s="57" t="s">
        <v>1281</v>
      </c>
      <c r="BS112" s="57" t="s">
        <v>1281</v>
      </c>
      <c r="BT112" s="57" t="s">
        <v>1281</v>
      </c>
      <c r="BU112" s="57" t="s">
        <v>1281</v>
      </c>
      <c r="BV112" s="70">
        <f t="shared" ref="BV112" si="814">E112</f>
        <v>40</v>
      </c>
      <c r="BW112" s="71">
        <f t="shared" ref="BW112" si="815">I112</f>
        <v>70</v>
      </c>
      <c r="BX112" s="72">
        <f t="shared" ref="BX112" si="816">M112</f>
        <v>74</v>
      </c>
      <c r="BY112" s="71">
        <f t="shared" ref="BY112" si="817">Q112</f>
        <v>106</v>
      </c>
      <c r="BZ112" s="72">
        <f t="shared" ref="BZ112" si="818">U112</f>
        <v>110</v>
      </c>
      <c r="CA112" s="71">
        <f t="shared" ref="CA112" si="819">Y112</f>
        <v>146</v>
      </c>
      <c r="CB112" s="72">
        <f t="shared" ref="CB112" si="820">AC112</f>
        <v>154</v>
      </c>
      <c r="CC112" s="71">
        <f t="shared" ref="CC112" si="821">AG112</f>
        <v>199</v>
      </c>
      <c r="CD112" s="72">
        <f t="shared" ref="CD112" si="822">AK112</f>
        <v>204</v>
      </c>
      <c r="CE112" s="71">
        <f t="shared" ref="CE112" si="823">AO112</f>
        <v>282</v>
      </c>
      <c r="CF112" s="72">
        <f t="shared" ref="CF112" si="824">AS112</f>
        <v>321</v>
      </c>
      <c r="CG112" s="71">
        <f t="shared" ref="CG112" si="825">AW112</f>
        <v>346</v>
      </c>
      <c r="CH112" s="70">
        <f t="shared" ref="CH112" si="826">G112</f>
        <v>69</v>
      </c>
      <c r="CI112" s="71">
        <f t="shared" ref="CI112" si="827">K112</f>
        <v>73</v>
      </c>
      <c r="CJ112" s="72">
        <f t="shared" ref="CJ112" si="828">O112</f>
        <v>104</v>
      </c>
      <c r="CK112" s="72">
        <f t="shared" ref="CK112" si="829">S112</f>
        <v>109</v>
      </c>
      <c r="CL112" s="72">
        <f t="shared" ref="CL112" si="830">W112</f>
        <v>145</v>
      </c>
      <c r="CM112" s="72">
        <f t="shared" ref="CM112" si="831">AA112</f>
        <v>153</v>
      </c>
      <c r="CN112" s="72">
        <f t="shared" ref="CN112" si="832">AE112</f>
        <v>180</v>
      </c>
      <c r="CO112" s="72">
        <f t="shared" ref="CO112" si="833">AI112</f>
        <v>201</v>
      </c>
      <c r="CP112" s="72">
        <f t="shared" ref="CP112" si="834">AM112</f>
        <v>273</v>
      </c>
      <c r="CQ112" s="72">
        <f t="shared" ref="CQ112" si="835">AQ112</f>
        <v>316</v>
      </c>
      <c r="CR112" s="72">
        <f t="shared" ref="CR112" si="836">AU112</f>
        <v>345</v>
      </c>
      <c r="CS112" s="72">
        <f t="shared" ref="CS112" si="837">AY112</f>
        <v>357</v>
      </c>
      <c r="CT112" s="23">
        <f t="shared" ref="CT112" si="838">M112-K112</f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ref="A113" si="839">CONCATENATE(B113,"_",C113)</f>
        <v>adrb1_melga_6H7L</v>
      </c>
      <c r="B113" s="3" t="s">
        <v>905</v>
      </c>
      <c r="C113" s="3" t="s">
        <v>1514</v>
      </c>
      <c r="D113" s="3" t="str">
        <f>IFERROR(MID(VLOOKUP($B113,Seqs!$A:$B,2,0),E113,1),"")</f>
        <v>W</v>
      </c>
      <c r="E113" s="3">
        <v>40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R</v>
      </c>
      <c r="O113" s="3">
        <v>104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3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S</v>
      </c>
      <c r="AM113" s="3">
        <v>273</v>
      </c>
      <c r="AN113" s="3" t="str">
        <f>IFERROR(MID(VLOOKUP($B113,Seqs!$A:$B,2,0),AO113,1),"")</f>
        <v>A</v>
      </c>
      <c r="AO113" s="3">
        <v>282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L</v>
      </c>
      <c r="AY113" s="3">
        <v>357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 t="shared" ref="BC113" si="841">_xlfn.AGGREGATE(9,6,CH113:CS113)-_xlfn.AGGREGATE(9,6,BV113:CG113)+12</f>
        <v>285</v>
      </c>
      <c r="BD113" s="5" t="s">
        <v>23</v>
      </c>
      <c r="BE113" s="3" t="s">
        <v>1285</v>
      </c>
      <c r="BF113" s="118">
        <v>2.7</v>
      </c>
      <c r="BG113" s="49" t="s">
        <v>1</v>
      </c>
      <c r="BH113" s="49" t="s">
        <v>1</v>
      </c>
      <c r="BI113" s="1"/>
      <c r="BJ113" s="70" t="s">
        <v>1281</v>
      </c>
      <c r="BK113" s="57" t="s">
        <v>1281</v>
      </c>
      <c r="BL113" s="57" t="s">
        <v>1281</v>
      </c>
      <c r="BM113" s="57" t="s">
        <v>1281</v>
      </c>
      <c r="BN113" s="57" t="s">
        <v>1281</v>
      </c>
      <c r="BO113" s="57" t="s">
        <v>1281</v>
      </c>
      <c r="BP113" s="57" t="s">
        <v>1281</v>
      </c>
      <c r="BQ113" s="57" t="s">
        <v>1281</v>
      </c>
      <c r="BR113" s="57" t="s">
        <v>1281</v>
      </c>
      <c r="BS113" s="57" t="s">
        <v>1281</v>
      </c>
      <c r="BT113" s="57" t="s">
        <v>1281</v>
      </c>
      <c r="BU113" s="57" t="s">
        <v>1281</v>
      </c>
      <c r="BV113" s="70">
        <f t="shared" ref="BV113" si="842">E113</f>
        <v>40</v>
      </c>
      <c r="BW113" s="71">
        <f t="shared" ref="BW113" si="843">I113</f>
        <v>70</v>
      </c>
      <c r="BX113" s="72">
        <f t="shared" ref="BX113" si="844">M113</f>
        <v>74</v>
      </c>
      <c r="BY113" s="71">
        <f t="shared" ref="BY113" si="845">Q113</f>
        <v>106</v>
      </c>
      <c r="BZ113" s="72">
        <f t="shared" ref="BZ113" si="846">U113</f>
        <v>110</v>
      </c>
      <c r="CA113" s="71">
        <f t="shared" ref="CA113" si="847">Y113</f>
        <v>146</v>
      </c>
      <c r="CB113" s="72">
        <f t="shared" ref="CB113" si="848">AC113</f>
        <v>154</v>
      </c>
      <c r="CC113" s="71">
        <f t="shared" ref="CC113" si="849">AG113</f>
        <v>199</v>
      </c>
      <c r="CD113" s="72">
        <f t="shared" ref="CD113" si="850">AK113</f>
        <v>204</v>
      </c>
      <c r="CE113" s="71">
        <f t="shared" ref="CE113" si="851">AO113</f>
        <v>282</v>
      </c>
      <c r="CF113" s="72">
        <f t="shared" ref="CF113" si="852">AS113</f>
        <v>321</v>
      </c>
      <c r="CG113" s="71">
        <f t="shared" ref="CG113" si="853">AW113</f>
        <v>346</v>
      </c>
      <c r="CH113" s="70">
        <f t="shared" ref="CH113" si="854">G113</f>
        <v>69</v>
      </c>
      <c r="CI113" s="71">
        <f t="shared" ref="CI113" si="855">K113</f>
        <v>73</v>
      </c>
      <c r="CJ113" s="72">
        <f t="shared" ref="CJ113" si="856">O113</f>
        <v>104</v>
      </c>
      <c r="CK113" s="72">
        <f t="shared" ref="CK113" si="857">S113</f>
        <v>109</v>
      </c>
      <c r="CL113" s="72">
        <f t="shared" ref="CL113" si="858">W113</f>
        <v>145</v>
      </c>
      <c r="CM113" s="72">
        <f t="shared" ref="CM113" si="859">AA113</f>
        <v>153</v>
      </c>
      <c r="CN113" s="72">
        <f t="shared" ref="CN113" si="860">AE113</f>
        <v>180</v>
      </c>
      <c r="CO113" s="72">
        <f t="shared" ref="CO113" si="861">AI113</f>
        <v>201</v>
      </c>
      <c r="CP113" s="72">
        <f t="shared" ref="CP113" si="862">AM113</f>
        <v>273</v>
      </c>
      <c r="CQ113" s="72">
        <f t="shared" ref="CQ113" si="863">AQ113</f>
        <v>316</v>
      </c>
      <c r="CR113" s="72">
        <f t="shared" ref="CR113" si="864">AU113</f>
        <v>345</v>
      </c>
      <c r="CS113" s="72">
        <f t="shared" ref="CS113" si="865">AY113</f>
        <v>357</v>
      </c>
      <c r="CT113" s="23">
        <f t="shared" ref="CT113" si="866">M113-K113</f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ref="A114" si="867">CONCATENATE(B114,"_",C114)</f>
        <v>adrb1_melga_6H7M</v>
      </c>
      <c r="B114" s="3" t="s">
        <v>905</v>
      </c>
      <c r="C114" s="3" t="s">
        <v>1515</v>
      </c>
      <c r="D114" s="3" t="str">
        <f>IFERROR(MID(VLOOKUP($B114,Seqs!$A:$B,2,0),E114,1),"")</f>
        <v>W</v>
      </c>
      <c r="E114" s="3">
        <v>40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R</v>
      </c>
      <c r="O114" s="3">
        <v>104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3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S</v>
      </c>
      <c r="AM114" s="3">
        <v>273</v>
      </c>
      <c r="AN114" s="3" t="str">
        <f>IFERROR(MID(VLOOKUP($B114,Seqs!$A:$B,2,0),AO114,1),"")</f>
        <v>A</v>
      </c>
      <c r="AO114" s="3">
        <v>282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L</v>
      </c>
      <c r="AY114" s="3">
        <v>357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869">_xlfn.AGGREGATE(9,6,CH114:CS114)-_xlfn.AGGREGATE(9,6,BV114:CG114)+12</f>
        <v>285</v>
      </c>
      <c r="BD114" s="5" t="s">
        <v>23</v>
      </c>
      <c r="BE114" s="3" t="s">
        <v>1285</v>
      </c>
      <c r="BF114" s="118">
        <v>2.76</v>
      </c>
      <c r="BG114" s="49" t="s">
        <v>1</v>
      </c>
      <c r="BH114" s="49" t="s">
        <v>1</v>
      </c>
      <c r="BI114" s="1"/>
      <c r="BJ114" s="70" t="s">
        <v>1281</v>
      </c>
      <c r="BK114" s="57" t="s">
        <v>1281</v>
      </c>
      <c r="BL114" s="57" t="s">
        <v>1281</v>
      </c>
      <c r="BM114" s="57" t="s">
        <v>1281</v>
      </c>
      <c r="BN114" s="57" t="s">
        <v>1281</v>
      </c>
      <c r="BO114" s="57" t="s">
        <v>1281</v>
      </c>
      <c r="BP114" s="57" t="s">
        <v>1281</v>
      </c>
      <c r="BQ114" s="57" t="s">
        <v>1281</v>
      </c>
      <c r="BR114" s="57" t="s">
        <v>1281</v>
      </c>
      <c r="BS114" s="57" t="s">
        <v>1281</v>
      </c>
      <c r="BT114" s="57" t="s">
        <v>1281</v>
      </c>
      <c r="BU114" s="57" t="s">
        <v>1281</v>
      </c>
      <c r="BV114" s="70">
        <f t="shared" ref="BV114" si="870">E114</f>
        <v>40</v>
      </c>
      <c r="BW114" s="71">
        <f t="shared" ref="BW114" si="871">I114</f>
        <v>70</v>
      </c>
      <c r="BX114" s="72">
        <f t="shared" ref="BX114" si="872">M114</f>
        <v>74</v>
      </c>
      <c r="BY114" s="71">
        <f t="shared" ref="BY114" si="873">Q114</f>
        <v>106</v>
      </c>
      <c r="BZ114" s="72">
        <f t="shared" ref="BZ114" si="874">U114</f>
        <v>110</v>
      </c>
      <c r="CA114" s="71">
        <f t="shared" ref="CA114" si="875">Y114</f>
        <v>146</v>
      </c>
      <c r="CB114" s="72">
        <f t="shared" ref="CB114" si="876">AC114</f>
        <v>154</v>
      </c>
      <c r="CC114" s="71">
        <f t="shared" ref="CC114" si="877">AG114</f>
        <v>199</v>
      </c>
      <c r="CD114" s="72">
        <f t="shared" ref="CD114" si="878">AK114</f>
        <v>204</v>
      </c>
      <c r="CE114" s="71">
        <f t="shared" ref="CE114" si="879">AO114</f>
        <v>282</v>
      </c>
      <c r="CF114" s="72">
        <f t="shared" ref="CF114" si="880">AS114</f>
        <v>321</v>
      </c>
      <c r="CG114" s="71">
        <f t="shared" ref="CG114" si="881">AW114</f>
        <v>346</v>
      </c>
      <c r="CH114" s="70">
        <f t="shared" ref="CH114" si="882">G114</f>
        <v>69</v>
      </c>
      <c r="CI114" s="71">
        <f t="shared" ref="CI114" si="883">K114</f>
        <v>73</v>
      </c>
      <c r="CJ114" s="72">
        <f t="shared" ref="CJ114" si="884">O114</f>
        <v>104</v>
      </c>
      <c r="CK114" s="72">
        <f t="shared" ref="CK114" si="885">S114</f>
        <v>109</v>
      </c>
      <c r="CL114" s="72">
        <f t="shared" ref="CL114" si="886">W114</f>
        <v>145</v>
      </c>
      <c r="CM114" s="72">
        <f t="shared" ref="CM114" si="887">AA114</f>
        <v>153</v>
      </c>
      <c r="CN114" s="72">
        <f t="shared" ref="CN114" si="888">AE114</f>
        <v>180</v>
      </c>
      <c r="CO114" s="72">
        <f t="shared" ref="CO114" si="889">AI114</f>
        <v>201</v>
      </c>
      <c r="CP114" s="72">
        <f t="shared" ref="CP114" si="890">AM114</f>
        <v>273</v>
      </c>
      <c r="CQ114" s="72">
        <f t="shared" ref="CQ114" si="891">AQ114</f>
        <v>316</v>
      </c>
      <c r="CR114" s="72">
        <f t="shared" ref="CR114" si="892">AU114</f>
        <v>345</v>
      </c>
      <c r="CS114" s="72">
        <f t="shared" ref="CS114" si="893">AY114</f>
        <v>357</v>
      </c>
      <c r="CT114" s="23">
        <f t="shared" ref="CT114" si="894">M114-K114</f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ref="A115" si="895">CONCATENATE(B115,"_",C115)</f>
        <v>adrb1_melga_6H7N</v>
      </c>
      <c r="B115" s="3" t="s">
        <v>905</v>
      </c>
      <c r="C115" s="3" t="s">
        <v>1516</v>
      </c>
      <c r="D115" s="3" t="str">
        <f>IFERROR(MID(VLOOKUP($B115,Seqs!$A:$B,2,0),E115,1),"")</f>
        <v>W</v>
      </c>
      <c r="E115" s="3">
        <v>40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R</v>
      </c>
      <c r="O115" s="3">
        <v>104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3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S</v>
      </c>
      <c r="AM115" s="3">
        <v>273</v>
      </c>
      <c r="AN115" s="3" t="str">
        <f>IFERROR(MID(VLOOKUP($B115,Seqs!$A:$B,2,0),AO115,1),"")</f>
        <v>A</v>
      </c>
      <c r="AO115" s="3">
        <v>282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L</v>
      </c>
      <c r="AY115" s="3">
        <v>357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897">_xlfn.AGGREGATE(9,6,CH115:CS115)-_xlfn.AGGREGATE(9,6,BV115:CG115)+12</f>
        <v>285</v>
      </c>
      <c r="BD115" s="5" t="s">
        <v>1369</v>
      </c>
      <c r="BE115" s="3" t="s">
        <v>1285</v>
      </c>
      <c r="BF115" s="118">
        <v>2.5</v>
      </c>
      <c r="BG115" s="49" t="s">
        <v>1</v>
      </c>
      <c r="BH115" s="49" t="s">
        <v>1</v>
      </c>
      <c r="BI115" s="1"/>
      <c r="BJ115" s="70" t="s">
        <v>1281</v>
      </c>
      <c r="BK115" s="57" t="s">
        <v>1281</v>
      </c>
      <c r="BL115" s="57" t="s">
        <v>1281</v>
      </c>
      <c r="BM115" s="57" t="s">
        <v>1281</v>
      </c>
      <c r="BN115" s="57" t="s">
        <v>1281</v>
      </c>
      <c r="BO115" s="57" t="s">
        <v>1281</v>
      </c>
      <c r="BP115" s="57" t="s">
        <v>1281</v>
      </c>
      <c r="BQ115" s="57" t="s">
        <v>1281</v>
      </c>
      <c r="BR115" s="57" t="s">
        <v>1281</v>
      </c>
      <c r="BS115" s="57" t="s">
        <v>1281</v>
      </c>
      <c r="BT115" s="57" t="s">
        <v>1281</v>
      </c>
      <c r="BU115" s="57" t="s">
        <v>1281</v>
      </c>
      <c r="BV115" s="70">
        <f t="shared" ref="BV115" si="898">E115</f>
        <v>40</v>
      </c>
      <c r="BW115" s="71">
        <f t="shared" ref="BW115" si="899">I115</f>
        <v>70</v>
      </c>
      <c r="BX115" s="72">
        <f t="shared" ref="BX115" si="900">M115</f>
        <v>74</v>
      </c>
      <c r="BY115" s="71">
        <f t="shared" ref="BY115" si="901">Q115</f>
        <v>106</v>
      </c>
      <c r="BZ115" s="72">
        <f t="shared" ref="BZ115" si="902">U115</f>
        <v>110</v>
      </c>
      <c r="CA115" s="71">
        <f t="shared" ref="CA115" si="903">Y115</f>
        <v>146</v>
      </c>
      <c r="CB115" s="72">
        <f t="shared" ref="CB115" si="904">AC115</f>
        <v>154</v>
      </c>
      <c r="CC115" s="71">
        <f t="shared" ref="CC115" si="905">AG115</f>
        <v>199</v>
      </c>
      <c r="CD115" s="72">
        <f t="shared" ref="CD115" si="906">AK115</f>
        <v>204</v>
      </c>
      <c r="CE115" s="71">
        <f t="shared" ref="CE115" si="907">AO115</f>
        <v>282</v>
      </c>
      <c r="CF115" s="72">
        <f t="shared" ref="CF115" si="908">AS115</f>
        <v>321</v>
      </c>
      <c r="CG115" s="71">
        <f t="shared" ref="CG115" si="909">AW115</f>
        <v>346</v>
      </c>
      <c r="CH115" s="70">
        <f t="shared" ref="CH115" si="910">G115</f>
        <v>69</v>
      </c>
      <c r="CI115" s="71">
        <f t="shared" ref="CI115" si="911">K115</f>
        <v>73</v>
      </c>
      <c r="CJ115" s="72">
        <f t="shared" ref="CJ115" si="912">O115</f>
        <v>104</v>
      </c>
      <c r="CK115" s="72">
        <f t="shared" ref="CK115" si="913">S115</f>
        <v>109</v>
      </c>
      <c r="CL115" s="72">
        <f t="shared" ref="CL115" si="914">W115</f>
        <v>145</v>
      </c>
      <c r="CM115" s="72">
        <f t="shared" ref="CM115" si="915">AA115</f>
        <v>153</v>
      </c>
      <c r="CN115" s="72">
        <f t="shared" ref="CN115" si="916">AE115</f>
        <v>180</v>
      </c>
      <c r="CO115" s="72">
        <f t="shared" ref="CO115" si="917">AI115</f>
        <v>201</v>
      </c>
      <c r="CP115" s="72">
        <f t="shared" ref="CP115" si="918">AM115</f>
        <v>273</v>
      </c>
      <c r="CQ115" s="72">
        <f t="shared" ref="CQ115" si="919">AQ115</f>
        <v>316</v>
      </c>
      <c r="CR115" s="72">
        <f t="shared" ref="CR115" si="920">AU115</f>
        <v>345</v>
      </c>
      <c r="CS115" s="72">
        <f t="shared" ref="CS115" si="921">AY115</f>
        <v>357</v>
      </c>
      <c r="CT115" s="23">
        <f t="shared" ref="CT115" si="922">M115-K115</f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ref="A116" si="923">CONCATENATE(B116,"_",C116)</f>
        <v>adrb1_melga_6H7O</v>
      </c>
      <c r="B116" s="3" t="s">
        <v>905</v>
      </c>
      <c r="C116" s="3" t="s">
        <v>1517</v>
      </c>
      <c r="D116" s="3" t="str">
        <f>IFERROR(MID(VLOOKUP($B116,Seqs!$A:$B,2,0),E116,1),"")</f>
        <v>W</v>
      </c>
      <c r="E116" s="3">
        <v>40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R</v>
      </c>
      <c r="O116" s="3">
        <v>104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3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S</v>
      </c>
      <c r="AM116" s="3">
        <v>273</v>
      </c>
      <c r="AN116" s="3" t="str">
        <f>IFERROR(MID(VLOOKUP($B116,Seqs!$A:$B,2,0),AO116,1),"")</f>
        <v>A</v>
      </c>
      <c r="AO116" s="3">
        <v>282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L</v>
      </c>
      <c r="AY116" s="3">
        <v>357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" si="924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25">_xlfn.AGGREGATE(9,6,CH116:CS116)-_xlfn.AGGREGATE(9,6,BV116:CG116)+12</f>
        <v>285</v>
      </c>
      <c r="BD116" s="5" t="s">
        <v>23</v>
      </c>
      <c r="BE116" s="3" t="s">
        <v>1285</v>
      </c>
      <c r="BF116" s="118">
        <v>2.8</v>
      </c>
      <c r="BG116" s="49" t="s">
        <v>1</v>
      </c>
      <c r="BH116" s="49" t="s">
        <v>1</v>
      </c>
      <c r="BI116" s="1"/>
      <c r="BJ116" s="70" t="s">
        <v>1281</v>
      </c>
      <c r="BK116" s="57" t="s">
        <v>1281</v>
      </c>
      <c r="BL116" s="57" t="s">
        <v>1281</v>
      </c>
      <c r="BM116" s="57" t="s">
        <v>1281</v>
      </c>
      <c r="BN116" s="57" t="s">
        <v>1281</v>
      </c>
      <c r="BO116" s="57" t="s">
        <v>1281</v>
      </c>
      <c r="BP116" s="57" t="s">
        <v>1281</v>
      </c>
      <c r="BQ116" s="57" t="s">
        <v>1281</v>
      </c>
      <c r="BR116" s="57" t="s">
        <v>1281</v>
      </c>
      <c r="BS116" s="57" t="s">
        <v>1281</v>
      </c>
      <c r="BT116" s="57" t="s">
        <v>1281</v>
      </c>
      <c r="BU116" s="57" t="s">
        <v>1281</v>
      </c>
      <c r="BV116" s="70">
        <f t="shared" ref="BV116" si="926">E116</f>
        <v>40</v>
      </c>
      <c r="BW116" s="71">
        <f t="shared" ref="BW116" si="927">I116</f>
        <v>70</v>
      </c>
      <c r="BX116" s="72">
        <f t="shared" ref="BX116" si="928">M116</f>
        <v>74</v>
      </c>
      <c r="BY116" s="71">
        <f t="shared" ref="BY116" si="929">Q116</f>
        <v>106</v>
      </c>
      <c r="BZ116" s="72">
        <f t="shared" ref="BZ116" si="930">U116</f>
        <v>110</v>
      </c>
      <c r="CA116" s="71">
        <f t="shared" ref="CA116" si="931">Y116</f>
        <v>146</v>
      </c>
      <c r="CB116" s="72">
        <f t="shared" ref="CB116" si="932">AC116</f>
        <v>154</v>
      </c>
      <c r="CC116" s="71">
        <f t="shared" ref="CC116" si="933">AG116</f>
        <v>199</v>
      </c>
      <c r="CD116" s="72">
        <f t="shared" ref="CD116" si="934">AK116</f>
        <v>204</v>
      </c>
      <c r="CE116" s="71">
        <f t="shared" ref="CE116" si="935">AO116</f>
        <v>282</v>
      </c>
      <c r="CF116" s="72">
        <f t="shared" ref="CF116" si="936">AS116</f>
        <v>321</v>
      </c>
      <c r="CG116" s="71">
        <f t="shared" ref="CG116" si="937">AW116</f>
        <v>346</v>
      </c>
      <c r="CH116" s="70">
        <f t="shared" ref="CH116" si="938">G116</f>
        <v>69</v>
      </c>
      <c r="CI116" s="71">
        <f t="shared" ref="CI116" si="939">K116</f>
        <v>73</v>
      </c>
      <c r="CJ116" s="72">
        <f t="shared" ref="CJ116" si="940">O116</f>
        <v>104</v>
      </c>
      <c r="CK116" s="72">
        <f t="shared" ref="CK116" si="941">S116</f>
        <v>109</v>
      </c>
      <c r="CL116" s="72">
        <f t="shared" ref="CL116" si="942">W116</f>
        <v>145</v>
      </c>
      <c r="CM116" s="72">
        <f t="shared" ref="CM116" si="943">AA116</f>
        <v>153</v>
      </c>
      <c r="CN116" s="72">
        <f t="shared" ref="CN116" si="944">AE116</f>
        <v>180</v>
      </c>
      <c r="CO116" s="72">
        <f t="shared" ref="CO116" si="945">AI116</f>
        <v>201</v>
      </c>
      <c r="CP116" s="72">
        <f t="shared" ref="CP116" si="946">AM116</f>
        <v>273</v>
      </c>
      <c r="CQ116" s="72">
        <f t="shared" ref="CQ116" si="947">AQ116</f>
        <v>316</v>
      </c>
      <c r="CR116" s="72">
        <f t="shared" ref="CR116" si="948">AU116</f>
        <v>345</v>
      </c>
      <c r="CS116" s="72">
        <f t="shared" ref="CS116" si="949">AY116</f>
        <v>357</v>
      </c>
      <c r="CT116" s="23">
        <f t="shared" ref="CT116" si="950"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ref="A117" si="951">CONCATENATE(B117,"_",C117)</f>
        <v>adrb1_melga_6IBL</v>
      </c>
      <c r="B117" s="3" t="s">
        <v>905</v>
      </c>
      <c r="C117" s="3" t="s">
        <v>1544</v>
      </c>
      <c r="D117" s="3" t="str">
        <f>IFERROR(MID(VLOOKUP($B117,Seqs!$A:$B,2,0),E117,1),"")</f>
        <v>E</v>
      </c>
      <c r="E117" s="3">
        <v>41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R</v>
      </c>
      <c r="O117" s="3">
        <v>104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3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S</v>
      </c>
      <c r="AM117" s="3">
        <v>273</v>
      </c>
      <c r="AN117" s="3" t="str">
        <f>IFERROR(MID(VLOOKUP($B117,Seqs!$A:$B,2,0),AO117,1),"")</f>
        <v>A</v>
      </c>
      <c r="AO117" s="3">
        <v>282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C</v>
      </c>
      <c r="AU117" s="3">
        <v>344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L</v>
      </c>
      <c r="AY117" s="3">
        <v>357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ref="BB117" si="952"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 t="shared" ref="BC117" si="953">_xlfn.AGGREGATE(9,6,CH117:CS117)-_xlfn.AGGREGATE(9,6,BV117:CG117)+12</f>
        <v>283</v>
      </c>
      <c r="BD117" s="5" t="s">
        <v>23</v>
      </c>
      <c r="BE117" s="3" t="s">
        <v>1285</v>
      </c>
      <c r="BF117" s="118">
        <v>2.7</v>
      </c>
      <c r="BG117" s="49" t="s">
        <v>1</v>
      </c>
      <c r="BH117" s="49" t="s">
        <v>1</v>
      </c>
      <c r="BI117" s="1"/>
      <c r="BJ117" s="70" t="s">
        <v>1281</v>
      </c>
      <c r="BK117" s="57" t="s">
        <v>1281</v>
      </c>
      <c r="BL117" s="57" t="s">
        <v>1281</v>
      </c>
      <c r="BM117" s="57" t="s">
        <v>1281</v>
      </c>
      <c r="BN117" s="57" t="s">
        <v>1281</v>
      </c>
      <c r="BO117" s="57" t="s">
        <v>1281</v>
      </c>
      <c r="BP117" s="57" t="s">
        <v>1281</v>
      </c>
      <c r="BQ117" s="57" t="s">
        <v>1281</v>
      </c>
      <c r="BR117" s="57" t="s">
        <v>1281</v>
      </c>
      <c r="BS117" s="57" t="s">
        <v>1281</v>
      </c>
      <c r="BT117" s="57" t="s">
        <v>1281</v>
      </c>
      <c r="BU117" s="57" t="s">
        <v>1281</v>
      </c>
      <c r="BV117" s="70">
        <f t="shared" ref="BV117" si="954">E117</f>
        <v>41</v>
      </c>
      <c r="BW117" s="71">
        <f t="shared" ref="BW117" si="955">I117</f>
        <v>70</v>
      </c>
      <c r="BX117" s="72">
        <f t="shared" ref="BX117" si="956">M117</f>
        <v>74</v>
      </c>
      <c r="BY117" s="71">
        <f t="shared" ref="BY117" si="957">Q117</f>
        <v>106</v>
      </c>
      <c r="BZ117" s="72">
        <f t="shared" ref="BZ117" si="958">U117</f>
        <v>110</v>
      </c>
      <c r="CA117" s="71">
        <f t="shared" ref="CA117" si="959">Y117</f>
        <v>146</v>
      </c>
      <c r="CB117" s="72">
        <f t="shared" ref="CB117" si="960">AC117</f>
        <v>154</v>
      </c>
      <c r="CC117" s="71">
        <f t="shared" ref="CC117" si="961">AG117</f>
        <v>199</v>
      </c>
      <c r="CD117" s="72">
        <f t="shared" ref="CD117" si="962">AK117</f>
        <v>204</v>
      </c>
      <c r="CE117" s="71">
        <f t="shared" ref="CE117" si="963">AO117</f>
        <v>282</v>
      </c>
      <c r="CF117" s="72">
        <f t="shared" ref="CF117" si="964">AS117</f>
        <v>321</v>
      </c>
      <c r="CG117" s="71">
        <f t="shared" ref="CG117" si="965">AW117</f>
        <v>346</v>
      </c>
      <c r="CH117" s="70">
        <f t="shared" ref="CH117" si="966">G117</f>
        <v>69</v>
      </c>
      <c r="CI117" s="71">
        <f t="shared" ref="CI117" si="967">K117</f>
        <v>73</v>
      </c>
      <c r="CJ117" s="72">
        <f t="shared" ref="CJ117" si="968">O117</f>
        <v>104</v>
      </c>
      <c r="CK117" s="72">
        <f t="shared" ref="CK117" si="969">S117</f>
        <v>109</v>
      </c>
      <c r="CL117" s="72">
        <f t="shared" ref="CL117" si="970">W117</f>
        <v>145</v>
      </c>
      <c r="CM117" s="72">
        <f t="shared" ref="CM117" si="971">AA117</f>
        <v>153</v>
      </c>
      <c r="CN117" s="72">
        <f t="shared" ref="CN117" si="972">AE117</f>
        <v>180</v>
      </c>
      <c r="CO117" s="72">
        <f t="shared" ref="CO117" si="973">AI117</f>
        <v>201</v>
      </c>
      <c r="CP117" s="72">
        <f t="shared" ref="CP117" si="974">AM117</f>
        <v>273</v>
      </c>
      <c r="CQ117" s="72">
        <f t="shared" ref="CQ117" si="975">AQ117</f>
        <v>316</v>
      </c>
      <c r="CR117" s="72">
        <f t="shared" ref="CR117" si="976">AU117</f>
        <v>344</v>
      </c>
      <c r="CS117" s="72">
        <f t="shared" ref="CS117" si="977">AY117</f>
        <v>357</v>
      </c>
      <c r="CT117" s="23">
        <f t="shared" ref="CT117" si="978">M117-K117</f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adrb2_human__wt</v>
      </c>
      <c r="B118" s="3" t="s">
        <v>126</v>
      </c>
      <c r="C118" s="3" t="s">
        <v>100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E</v>
      </c>
      <c r="AM118" s="3">
        <v>237</v>
      </c>
      <c r="AN118" s="3" t="str">
        <f>IFERROR(MID(VLOOKUP($B118,Seqs!$A:$B,2,0),AO118,1),"")</f>
        <v>S</v>
      </c>
      <c r="AO118" s="3">
        <v>262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85"/>
        <v>267</v>
      </c>
      <c r="BD118" s="56" t="s">
        <v>23</v>
      </c>
      <c r="BE118" s="3" t="s">
        <v>23</v>
      </c>
      <c r="BF118" s="118" t="s">
        <v>23</v>
      </c>
      <c r="BG118" s="49" t="s">
        <v>1366</v>
      </c>
      <c r="BH118" s="49" t="s">
        <v>1371</v>
      </c>
      <c r="BI118" s="3" t="s">
        <v>1159</v>
      </c>
      <c r="BJ118" s="70" t="s">
        <v>1281</v>
      </c>
      <c r="BK118" s="57" t="s">
        <v>1281</v>
      </c>
      <c r="BL118" s="57" t="s">
        <v>1281</v>
      </c>
      <c r="BM118" s="57" t="s">
        <v>1281</v>
      </c>
      <c r="BN118" s="57" t="s">
        <v>1281</v>
      </c>
      <c r="BO118" s="57" t="s">
        <v>1281</v>
      </c>
      <c r="BP118" s="57" t="s">
        <v>1281</v>
      </c>
      <c r="BQ118" s="57" t="s">
        <v>1281</v>
      </c>
      <c r="BR118" s="57" t="s">
        <v>1281</v>
      </c>
      <c r="BS118" s="57" t="s">
        <v>1281</v>
      </c>
      <c r="BT118" s="57" t="s">
        <v>1281</v>
      </c>
      <c r="BU118" s="57" t="s">
        <v>1281</v>
      </c>
      <c r="BV118" s="70">
        <f t="shared" si="786"/>
        <v>26</v>
      </c>
      <c r="BW118" s="71">
        <f t="shared" si="787"/>
        <v>62</v>
      </c>
      <c r="BX118" s="72">
        <f t="shared" si="788"/>
        <v>66</v>
      </c>
      <c r="BY118" s="71">
        <f t="shared" si="789"/>
        <v>98</v>
      </c>
      <c r="BZ118" s="72">
        <f t="shared" si="790"/>
        <v>102</v>
      </c>
      <c r="CA118" s="71">
        <f t="shared" si="791"/>
        <v>138</v>
      </c>
      <c r="CB118" s="72">
        <f t="shared" si="792"/>
        <v>146</v>
      </c>
      <c r="CC118" s="71">
        <f t="shared" si="793"/>
        <v>191</v>
      </c>
      <c r="CD118" s="72">
        <f t="shared" si="794"/>
        <v>196</v>
      </c>
      <c r="CE118" s="71">
        <f t="shared" si="795"/>
        <v>262</v>
      </c>
      <c r="CF118" s="72">
        <f t="shared" si="796"/>
        <v>304</v>
      </c>
      <c r="CG118" s="71">
        <f t="shared" si="797"/>
        <v>329</v>
      </c>
      <c r="CH118" s="70">
        <f t="shared" si="798"/>
        <v>61</v>
      </c>
      <c r="CI118" s="71">
        <f t="shared" si="799"/>
        <v>65</v>
      </c>
      <c r="CJ118" s="72">
        <f t="shared" si="800"/>
        <v>96</v>
      </c>
      <c r="CK118" s="72">
        <f t="shared" si="801"/>
        <v>101</v>
      </c>
      <c r="CL118" s="72">
        <f t="shared" si="802"/>
        <v>137</v>
      </c>
      <c r="CM118" s="72">
        <f t="shared" si="803"/>
        <v>145</v>
      </c>
      <c r="CN118" s="72">
        <f t="shared" si="804"/>
        <v>172</v>
      </c>
      <c r="CO118" s="72">
        <f t="shared" si="805"/>
        <v>193</v>
      </c>
      <c r="CP118" s="72">
        <f t="shared" si="806"/>
        <v>237</v>
      </c>
      <c r="CQ118" s="72">
        <f t="shared" si="807"/>
        <v>299</v>
      </c>
      <c r="CR118" s="72">
        <f t="shared" si="808"/>
        <v>328</v>
      </c>
      <c r="CS118" s="72">
        <f t="shared" si="809"/>
        <v>341</v>
      </c>
      <c r="CT118" s="23">
        <f t="shared" si="81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adrb2_human_2RH1</v>
      </c>
      <c r="B119" s="3" t="s">
        <v>126</v>
      </c>
      <c r="C119" s="3" t="s">
        <v>75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85"/>
        <v>244</v>
      </c>
      <c r="BD119" s="4" t="s">
        <v>23</v>
      </c>
      <c r="BE119" s="3" t="s">
        <v>1368</v>
      </c>
      <c r="BF119" s="118">
        <v>2.4</v>
      </c>
      <c r="BG119" s="49" t="s">
        <v>1371</v>
      </c>
      <c r="BH119" s="49" t="s">
        <v>1371</v>
      </c>
      <c r="BI119" s="1"/>
      <c r="BJ119" s="70" t="s">
        <v>1281</v>
      </c>
      <c r="BK119" s="57" t="s">
        <v>1281</v>
      </c>
      <c r="BL119" s="57" t="s">
        <v>1281</v>
      </c>
      <c r="BM119" s="57" t="s">
        <v>1281</v>
      </c>
      <c r="BN119" s="57" t="s">
        <v>1281</v>
      </c>
      <c r="BO119" s="57" t="s">
        <v>1281</v>
      </c>
      <c r="BP119" s="57" t="s">
        <v>1281</v>
      </c>
      <c r="BQ119" s="57" t="s">
        <v>1281</v>
      </c>
      <c r="BR119" s="57" t="s">
        <v>1281</v>
      </c>
      <c r="BS119" s="57" t="s">
        <v>1281</v>
      </c>
      <c r="BT119" s="57" t="s">
        <v>1281</v>
      </c>
      <c r="BU119" s="57" t="s">
        <v>1281</v>
      </c>
      <c r="BV119" s="70">
        <f t="shared" si="786"/>
        <v>29</v>
      </c>
      <c r="BW119" s="71">
        <f t="shared" si="787"/>
        <v>62</v>
      </c>
      <c r="BX119" s="72">
        <f t="shared" si="788"/>
        <v>66</v>
      </c>
      <c r="BY119" s="71">
        <f t="shared" si="789"/>
        <v>98</v>
      </c>
      <c r="BZ119" s="72">
        <f t="shared" si="790"/>
        <v>102</v>
      </c>
      <c r="CA119" s="71" t="str">
        <f t="shared" si="791"/>
        <v>-</v>
      </c>
      <c r="CB119" s="72">
        <f t="shared" si="792"/>
        <v>146</v>
      </c>
      <c r="CC119" s="71">
        <f t="shared" si="793"/>
        <v>191</v>
      </c>
      <c r="CD119" s="72">
        <f t="shared" si="794"/>
        <v>196</v>
      </c>
      <c r="CE119" s="71">
        <f t="shared" si="795"/>
        <v>267</v>
      </c>
      <c r="CF119" s="72">
        <f t="shared" si="796"/>
        <v>304</v>
      </c>
      <c r="CG119" s="71">
        <f t="shared" si="797"/>
        <v>329</v>
      </c>
      <c r="CH119" s="70">
        <f t="shared" si="798"/>
        <v>61</v>
      </c>
      <c r="CI119" s="71">
        <f t="shared" si="799"/>
        <v>65</v>
      </c>
      <c r="CJ119" s="72">
        <f t="shared" si="800"/>
        <v>96</v>
      </c>
      <c r="CK119" s="72">
        <f t="shared" si="801"/>
        <v>101</v>
      </c>
      <c r="CL119" s="72">
        <f t="shared" si="802"/>
        <v>137</v>
      </c>
      <c r="CM119" s="72" t="str">
        <f t="shared" si="803"/>
        <v>-</v>
      </c>
      <c r="CN119" s="72">
        <f t="shared" si="804"/>
        <v>172</v>
      </c>
      <c r="CO119" s="72">
        <f t="shared" si="805"/>
        <v>193</v>
      </c>
      <c r="CP119" s="72">
        <f t="shared" si="806"/>
        <v>229</v>
      </c>
      <c r="CQ119" s="72">
        <f t="shared" si="807"/>
        <v>299</v>
      </c>
      <c r="CR119" s="72">
        <f t="shared" si="808"/>
        <v>328</v>
      </c>
      <c r="CS119" s="72">
        <f t="shared" si="809"/>
        <v>341</v>
      </c>
      <c r="CT119" s="23">
        <f t="shared" si="81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adrb2_human_3D4S</v>
      </c>
      <c r="B120" s="3" t="s">
        <v>126</v>
      </c>
      <c r="C120" s="3" t="s">
        <v>76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85"/>
        <v>241</v>
      </c>
      <c r="BD120" s="4" t="s">
        <v>23</v>
      </c>
      <c r="BE120" s="3" t="s">
        <v>1368</v>
      </c>
      <c r="BF120" s="118">
        <v>2.8</v>
      </c>
      <c r="BG120" s="49" t="s">
        <v>1371</v>
      </c>
      <c r="BH120" s="49" t="s">
        <v>1371</v>
      </c>
      <c r="BI120" s="1"/>
      <c r="BJ120" s="70" t="s">
        <v>1281</v>
      </c>
      <c r="BK120" s="57" t="s">
        <v>1281</v>
      </c>
      <c r="BL120" s="57" t="s">
        <v>1281</v>
      </c>
      <c r="BM120" s="57" t="s">
        <v>1281</v>
      </c>
      <c r="BN120" s="57" t="s">
        <v>1281</v>
      </c>
      <c r="BO120" s="57" t="s">
        <v>1281</v>
      </c>
      <c r="BP120" s="57" t="s">
        <v>1281</v>
      </c>
      <c r="BQ120" s="57" t="s">
        <v>1281</v>
      </c>
      <c r="BR120" s="57" t="s">
        <v>1281</v>
      </c>
      <c r="BS120" s="57" t="s">
        <v>1281</v>
      </c>
      <c r="BT120" s="57" t="s">
        <v>1281</v>
      </c>
      <c r="BU120" s="57" t="s">
        <v>1281</v>
      </c>
      <c r="BV120" s="70">
        <f t="shared" si="786"/>
        <v>32</v>
      </c>
      <c r="BW120" s="71">
        <f t="shared" si="787"/>
        <v>62</v>
      </c>
      <c r="BX120" s="72">
        <f t="shared" si="788"/>
        <v>66</v>
      </c>
      <c r="BY120" s="71">
        <f t="shared" si="789"/>
        <v>98</v>
      </c>
      <c r="BZ120" s="72">
        <f t="shared" si="790"/>
        <v>102</v>
      </c>
      <c r="CA120" s="71" t="str">
        <f t="shared" si="791"/>
        <v>-</v>
      </c>
      <c r="CB120" s="72">
        <f t="shared" si="792"/>
        <v>146</v>
      </c>
      <c r="CC120" s="71">
        <f t="shared" si="793"/>
        <v>191</v>
      </c>
      <c r="CD120" s="72">
        <f t="shared" si="794"/>
        <v>196</v>
      </c>
      <c r="CE120" s="71">
        <f t="shared" si="795"/>
        <v>267</v>
      </c>
      <c r="CF120" s="72">
        <f t="shared" si="796"/>
        <v>304</v>
      </c>
      <c r="CG120" s="71">
        <f t="shared" si="797"/>
        <v>329</v>
      </c>
      <c r="CH120" s="70">
        <f t="shared" si="798"/>
        <v>61</v>
      </c>
      <c r="CI120" s="71">
        <f t="shared" si="799"/>
        <v>65</v>
      </c>
      <c r="CJ120" s="72">
        <f t="shared" si="800"/>
        <v>96</v>
      </c>
      <c r="CK120" s="72">
        <f t="shared" si="801"/>
        <v>101</v>
      </c>
      <c r="CL120" s="72">
        <f t="shared" si="802"/>
        <v>137</v>
      </c>
      <c r="CM120" s="72" t="str">
        <f t="shared" si="803"/>
        <v>-</v>
      </c>
      <c r="CN120" s="72">
        <f t="shared" si="804"/>
        <v>172</v>
      </c>
      <c r="CO120" s="72">
        <f t="shared" si="805"/>
        <v>193</v>
      </c>
      <c r="CP120" s="72">
        <f t="shared" si="806"/>
        <v>229</v>
      </c>
      <c r="CQ120" s="72">
        <f t="shared" si="807"/>
        <v>299</v>
      </c>
      <c r="CR120" s="72">
        <f t="shared" si="808"/>
        <v>328</v>
      </c>
      <c r="CS120" s="72">
        <f t="shared" si="809"/>
        <v>341</v>
      </c>
      <c r="CT120" s="23">
        <f t="shared" si="81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adrb2_human_3NY8</v>
      </c>
      <c r="B121" s="3" t="s">
        <v>126</v>
      </c>
      <c r="C121" s="3" t="s">
        <v>1327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85"/>
        <v>241</v>
      </c>
      <c r="BD121" s="4" t="s">
        <v>23</v>
      </c>
      <c r="BE121" s="3" t="s">
        <v>1368</v>
      </c>
      <c r="BF121" s="118">
        <v>2.84</v>
      </c>
      <c r="BG121" s="49" t="s">
        <v>1371</v>
      </c>
      <c r="BH121" s="49" t="s">
        <v>1371</v>
      </c>
      <c r="BI121" s="1"/>
      <c r="BJ121" s="70" t="s">
        <v>1281</v>
      </c>
      <c r="BK121" s="57" t="s">
        <v>1281</v>
      </c>
      <c r="BL121" s="57" t="s">
        <v>1281</v>
      </c>
      <c r="BM121" s="57" t="s">
        <v>1281</v>
      </c>
      <c r="BN121" s="57" t="s">
        <v>1281</v>
      </c>
      <c r="BO121" s="57" t="s">
        <v>1281</v>
      </c>
      <c r="BP121" s="57" t="s">
        <v>1281</v>
      </c>
      <c r="BQ121" s="57" t="s">
        <v>1281</v>
      </c>
      <c r="BR121" s="57" t="s">
        <v>1281</v>
      </c>
      <c r="BS121" s="57" t="s">
        <v>1281</v>
      </c>
      <c r="BT121" s="57" t="s">
        <v>1281</v>
      </c>
      <c r="BU121" s="57" t="s">
        <v>1281</v>
      </c>
      <c r="BV121" s="70">
        <f t="shared" si="786"/>
        <v>32</v>
      </c>
      <c r="BW121" s="71">
        <f t="shared" si="787"/>
        <v>62</v>
      </c>
      <c r="BX121" s="72">
        <f t="shared" si="788"/>
        <v>66</v>
      </c>
      <c r="BY121" s="71">
        <f t="shared" si="789"/>
        <v>98</v>
      </c>
      <c r="BZ121" s="72">
        <f t="shared" si="790"/>
        <v>102</v>
      </c>
      <c r="CA121" s="71" t="str">
        <f t="shared" si="791"/>
        <v>-</v>
      </c>
      <c r="CB121" s="72">
        <f t="shared" si="792"/>
        <v>146</v>
      </c>
      <c r="CC121" s="71">
        <f t="shared" si="793"/>
        <v>191</v>
      </c>
      <c r="CD121" s="72">
        <f t="shared" si="794"/>
        <v>196</v>
      </c>
      <c r="CE121" s="71">
        <f t="shared" si="795"/>
        <v>267</v>
      </c>
      <c r="CF121" s="72">
        <f t="shared" si="796"/>
        <v>304</v>
      </c>
      <c r="CG121" s="71">
        <f t="shared" si="797"/>
        <v>329</v>
      </c>
      <c r="CH121" s="70">
        <f t="shared" si="798"/>
        <v>61</v>
      </c>
      <c r="CI121" s="71">
        <f t="shared" si="799"/>
        <v>65</v>
      </c>
      <c r="CJ121" s="72">
        <f t="shared" si="800"/>
        <v>96</v>
      </c>
      <c r="CK121" s="72">
        <f t="shared" si="801"/>
        <v>101</v>
      </c>
      <c r="CL121" s="72">
        <f t="shared" si="802"/>
        <v>137</v>
      </c>
      <c r="CM121" s="72" t="str">
        <f t="shared" si="803"/>
        <v>-</v>
      </c>
      <c r="CN121" s="72">
        <f t="shared" si="804"/>
        <v>172</v>
      </c>
      <c r="CO121" s="72">
        <f t="shared" si="805"/>
        <v>193</v>
      </c>
      <c r="CP121" s="72">
        <f t="shared" si="806"/>
        <v>229</v>
      </c>
      <c r="CQ121" s="72">
        <f t="shared" si="807"/>
        <v>299</v>
      </c>
      <c r="CR121" s="72">
        <f t="shared" si="808"/>
        <v>328</v>
      </c>
      <c r="CS121" s="72">
        <f t="shared" si="809"/>
        <v>341</v>
      </c>
      <c r="CT121" s="23">
        <f t="shared" si="81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adrb2_human_3NY9</v>
      </c>
      <c r="B122" s="3" t="s">
        <v>126</v>
      </c>
      <c r="C122" s="3" t="s">
        <v>1023</v>
      </c>
      <c r="D122" s="3" t="str">
        <f>IFERROR(MID(VLOOKUP($B122,Seqs!$A:$B,2,0),E122,1),"")</f>
        <v>W</v>
      </c>
      <c r="E122" s="3">
        <v>32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Q</v>
      </c>
      <c r="AM122" s="3">
        <v>229</v>
      </c>
      <c r="AN122" s="3" t="str">
        <f>IFERROR(MID(VLOOKUP($B122,Seqs!$A:$B,2,0),AO122,1),"")</f>
        <v>K</v>
      </c>
      <c r="AO122" s="3">
        <v>267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85"/>
        <v>241</v>
      </c>
      <c r="BD122" s="4" t="s">
        <v>23</v>
      </c>
      <c r="BE122" s="3" t="s">
        <v>1368</v>
      </c>
      <c r="BF122" s="118">
        <v>2.84</v>
      </c>
      <c r="BG122" s="49" t="s">
        <v>1371</v>
      </c>
      <c r="BH122" s="49" t="s">
        <v>1371</v>
      </c>
      <c r="BI122" s="1"/>
      <c r="BJ122" s="70" t="s">
        <v>1281</v>
      </c>
      <c r="BK122" s="57" t="s">
        <v>1281</v>
      </c>
      <c r="BL122" s="57" t="s">
        <v>1281</v>
      </c>
      <c r="BM122" s="57" t="s">
        <v>1281</v>
      </c>
      <c r="BN122" s="57" t="s">
        <v>1281</v>
      </c>
      <c r="BO122" s="57" t="s">
        <v>1281</v>
      </c>
      <c r="BP122" s="57" t="s">
        <v>1281</v>
      </c>
      <c r="BQ122" s="57" t="s">
        <v>1281</v>
      </c>
      <c r="BR122" s="57" t="s">
        <v>1281</v>
      </c>
      <c r="BS122" s="57" t="s">
        <v>1281</v>
      </c>
      <c r="BT122" s="57" t="s">
        <v>1281</v>
      </c>
      <c r="BU122" s="57" t="s">
        <v>1281</v>
      </c>
      <c r="BV122" s="70">
        <f t="shared" si="786"/>
        <v>32</v>
      </c>
      <c r="BW122" s="71">
        <f t="shared" si="787"/>
        <v>62</v>
      </c>
      <c r="BX122" s="72">
        <f t="shared" si="788"/>
        <v>66</v>
      </c>
      <c r="BY122" s="71">
        <f t="shared" si="789"/>
        <v>98</v>
      </c>
      <c r="BZ122" s="72">
        <f t="shared" si="790"/>
        <v>102</v>
      </c>
      <c r="CA122" s="71" t="str">
        <f t="shared" si="791"/>
        <v>-</v>
      </c>
      <c r="CB122" s="72">
        <f t="shared" si="792"/>
        <v>146</v>
      </c>
      <c r="CC122" s="71">
        <f t="shared" si="793"/>
        <v>191</v>
      </c>
      <c r="CD122" s="72">
        <f t="shared" si="794"/>
        <v>196</v>
      </c>
      <c r="CE122" s="71">
        <f t="shared" si="795"/>
        <v>267</v>
      </c>
      <c r="CF122" s="72">
        <f t="shared" si="796"/>
        <v>304</v>
      </c>
      <c r="CG122" s="71">
        <f t="shared" si="797"/>
        <v>329</v>
      </c>
      <c r="CH122" s="70">
        <f t="shared" si="798"/>
        <v>61</v>
      </c>
      <c r="CI122" s="71">
        <f t="shared" si="799"/>
        <v>65</v>
      </c>
      <c r="CJ122" s="72">
        <f t="shared" si="800"/>
        <v>96</v>
      </c>
      <c r="CK122" s="72">
        <f t="shared" si="801"/>
        <v>101</v>
      </c>
      <c r="CL122" s="72">
        <f t="shared" si="802"/>
        <v>137</v>
      </c>
      <c r="CM122" s="72" t="str">
        <f t="shared" si="803"/>
        <v>-</v>
      </c>
      <c r="CN122" s="72">
        <f t="shared" si="804"/>
        <v>172</v>
      </c>
      <c r="CO122" s="72">
        <f t="shared" si="805"/>
        <v>193</v>
      </c>
      <c r="CP122" s="72">
        <f t="shared" si="806"/>
        <v>229</v>
      </c>
      <c r="CQ122" s="72">
        <f t="shared" si="807"/>
        <v>299</v>
      </c>
      <c r="CR122" s="72">
        <f t="shared" si="808"/>
        <v>328</v>
      </c>
      <c r="CS122" s="72">
        <f t="shared" si="809"/>
        <v>341</v>
      </c>
      <c r="CT122" s="23">
        <f t="shared" si="81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adrb2_human_3NYA</v>
      </c>
      <c r="B123" s="3" t="s">
        <v>126</v>
      </c>
      <c r="C123" s="3" t="s">
        <v>1328</v>
      </c>
      <c r="D123" s="3" t="str">
        <f>IFERROR(MID(VLOOKUP($B123,Seqs!$A:$B,2,0),E123,1),"")</f>
        <v>W</v>
      </c>
      <c r="E123" s="3">
        <v>32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K</v>
      </c>
      <c r="AO123" s="3">
        <v>267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85"/>
        <v>241</v>
      </c>
      <c r="BD123" s="4" t="s">
        <v>23</v>
      </c>
      <c r="BE123" s="3" t="s">
        <v>1368</v>
      </c>
      <c r="BF123" s="118">
        <v>3.16</v>
      </c>
      <c r="BG123" s="49" t="s">
        <v>1371</v>
      </c>
      <c r="BH123" s="49" t="s">
        <v>1371</v>
      </c>
      <c r="BI123" s="1"/>
      <c r="BJ123" s="70" t="s">
        <v>1281</v>
      </c>
      <c r="BK123" s="57" t="s">
        <v>1281</v>
      </c>
      <c r="BL123" s="57" t="s">
        <v>1281</v>
      </c>
      <c r="BM123" s="57" t="s">
        <v>1281</v>
      </c>
      <c r="BN123" s="57" t="s">
        <v>1281</v>
      </c>
      <c r="BO123" s="57" t="s">
        <v>1281</v>
      </c>
      <c r="BP123" s="57" t="s">
        <v>1281</v>
      </c>
      <c r="BQ123" s="57" t="s">
        <v>1281</v>
      </c>
      <c r="BR123" s="57" t="s">
        <v>1281</v>
      </c>
      <c r="BS123" s="57" t="s">
        <v>1281</v>
      </c>
      <c r="BT123" s="57" t="s">
        <v>1281</v>
      </c>
      <c r="BU123" s="57" t="s">
        <v>1281</v>
      </c>
      <c r="BV123" s="70">
        <f t="shared" si="786"/>
        <v>32</v>
      </c>
      <c r="BW123" s="71">
        <f t="shared" si="787"/>
        <v>62</v>
      </c>
      <c r="BX123" s="72">
        <f t="shared" si="788"/>
        <v>66</v>
      </c>
      <c r="BY123" s="71">
        <f t="shared" si="789"/>
        <v>98</v>
      </c>
      <c r="BZ123" s="72">
        <f t="shared" si="790"/>
        <v>102</v>
      </c>
      <c r="CA123" s="71" t="str">
        <f t="shared" si="791"/>
        <v>-</v>
      </c>
      <c r="CB123" s="72">
        <f t="shared" si="792"/>
        <v>146</v>
      </c>
      <c r="CC123" s="71">
        <f t="shared" si="793"/>
        <v>191</v>
      </c>
      <c r="CD123" s="72">
        <f t="shared" si="794"/>
        <v>196</v>
      </c>
      <c r="CE123" s="71">
        <f t="shared" si="795"/>
        <v>267</v>
      </c>
      <c r="CF123" s="72">
        <f t="shared" si="796"/>
        <v>304</v>
      </c>
      <c r="CG123" s="71">
        <f t="shared" si="797"/>
        <v>329</v>
      </c>
      <c r="CH123" s="70">
        <f t="shared" si="798"/>
        <v>61</v>
      </c>
      <c r="CI123" s="71">
        <f t="shared" si="799"/>
        <v>65</v>
      </c>
      <c r="CJ123" s="72">
        <f t="shared" si="800"/>
        <v>96</v>
      </c>
      <c r="CK123" s="72">
        <f t="shared" si="801"/>
        <v>101</v>
      </c>
      <c r="CL123" s="72">
        <f t="shared" si="802"/>
        <v>137</v>
      </c>
      <c r="CM123" s="72" t="str">
        <f t="shared" si="803"/>
        <v>-</v>
      </c>
      <c r="CN123" s="72">
        <f t="shared" si="804"/>
        <v>172</v>
      </c>
      <c r="CO123" s="72">
        <f t="shared" si="805"/>
        <v>193</v>
      </c>
      <c r="CP123" s="72">
        <f t="shared" si="806"/>
        <v>229</v>
      </c>
      <c r="CQ123" s="72">
        <f t="shared" si="807"/>
        <v>299</v>
      </c>
      <c r="CR123" s="72">
        <f t="shared" si="808"/>
        <v>328</v>
      </c>
      <c r="CS123" s="72">
        <f t="shared" si="809"/>
        <v>341</v>
      </c>
      <c r="CT123" s="23">
        <f t="shared" si="81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03"/>
        <v>adrb2_human_3P0G</v>
      </c>
      <c r="B124" s="3" t="s">
        <v>126</v>
      </c>
      <c r="C124" s="3" t="s">
        <v>66</v>
      </c>
      <c r="D124" s="3" t="str">
        <f>IFERROR(MID(VLOOKUP($B124,Seqs!$A:$B,2,0),E124,1),"")</f>
        <v>Q</v>
      </c>
      <c r="E124" s="3">
        <v>26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A</v>
      </c>
      <c r="AM124" s="3">
        <v>226</v>
      </c>
      <c r="AN124" s="3" t="str">
        <f>IFERROR(MID(VLOOKUP($B124,Seqs!$A:$B,2,0),AO124,1),"")</f>
        <v>H</v>
      </c>
      <c r="AO124" s="3">
        <v>269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85"/>
        <v>249</v>
      </c>
      <c r="BD124" s="16" t="s">
        <v>23</v>
      </c>
      <c r="BE124" s="3" t="s">
        <v>1285</v>
      </c>
      <c r="BF124" s="118">
        <v>3.5</v>
      </c>
      <c r="BG124" s="49" t="s">
        <v>1371</v>
      </c>
      <c r="BH124" s="49" t="s">
        <v>1371</v>
      </c>
      <c r="BI124" s="1"/>
      <c r="BJ124" s="70" t="s">
        <v>1281</v>
      </c>
      <c r="BK124" s="57" t="s">
        <v>1281</v>
      </c>
      <c r="BL124" s="57" t="s">
        <v>1281</v>
      </c>
      <c r="BM124" s="57" t="s">
        <v>1281</v>
      </c>
      <c r="BN124" s="57" t="s">
        <v>1281</v>
      </c>
      <c r="BO124" s="57" t="s">
        <v>1281</v>
      </c>
      <c r="BP124" s="57" t="s">
        <v>1281</v>
      </c>
      <c r="BQ124" s="57" t="s">
        <v>1281</v>
      </c>
      <c r="BR124" s="57" t="s">
        <v>1281</v>
      </c>
      <c r="BS124" s="57" t="s">
        <v>1281</v>
      </c>
      <c r="BT124" s="57" t="s">
        <v>1281</v>
      </c>
      <c r="BU124" s="57" t="s">
        <v>1281</v>
      </c>
      <c r="BV124" s="70">
        <f t="shared" si="786"/>
        <v>26</v>
      </c>
      <c r="BW124" s="71">
        <f t="shared" si="787"/>
        <v>62</v>
      </c>
      <c r="BX124" s="72">
        <f t="shared" si="788"/>
        <v>66</v>
      </c>
      <c r="BY124" s="71">
        <f t="shared" si="789"/>
        <v>98</v>
      </c>
      <c r="BZ124" s="72">
        <f t="shared" si="790"/>
        <v>102</v>
      </c>
      <c r="CA124" s="71">
        <f t="shared" si="791"/>
        <v>138</v>
      </c>
      <c r="CB124" s="72">
        <f t="shared" si="792"/>
        <v>146</v>
      </c>
      <c r="CC124" s="71">
        <f t="shared" si="793"/>
        <v>191</v>
      </c>
      <c r="CD124" s="72">
        <f t="shared" si="794"/>
        <v>196</v>
      </c>
      <c r="CE124" s="71">
        <f t="shared" si="795"/>
        <v>269</v>
      </c>
      <c r="CF124" s="72">
        <f t="shared" si="796"/>
        <v>304</v>
      </c>
      <c r="CG124" s="71">
        <f t="shared" si="797"/>
        <v>329</v>
      </c>
      <c r="CH124" s="70">
        <f t="shared" si="798"/>
        <v>61</v>
      </c>
      <c r="CI124" s="71">
        <f t="shared" si="799"/>
        <v>65</v>
      </c>
      <c r="CJ124" s="72">
        <f t="shared" si="800"/>
        <v>96</v>
      </c>
      <c r="CK124" s="72">
        <f t="shared" si="801"/>
        <v>101</v>
      </c>
      <c r="CL124" s="72">
        <f t="shared" si="802"/>
        <v>137</v>
      </c>
      <c r="CM124" s="72">
        <f t="shared" si="803"/>
        <v>145</v>
      </c>
      <c r="CN124" s="72">
        <f t="shared" si="804"/>
        <v>172</v>
      </c>
      <c r="CO124" s="72">
        <f t="shared" si="805"/>
        <v>193</v>
      </c>
      <c r="CP124" s="72">
        <f t="shared" si="806"/>
        <v>226</v>
      </c>
      <c r="CQ124" s="72">
        <f t="shared" si="807"/>
        <v>299</v>
      </c>
      <c r="CR124" s="72">
        <f t="shared" si="808"/>
        <v>328</v>
      </c>
      <c r="CS124" s="72">
        <f t="shared" si="809"/>
        <v>341</v>
      </c>
      <c r="CT124" s="23">
        <f t="shared" si="81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03"/>
        <v>adrb2_human_3PDS</v>
      </c>
      <c r="B125" s="3" t="s">
        <v>126</v>
      </c>
      <c r="C125" s="3" t="s">
        <v>1329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L</v>
      </c>
      <c r="AO125" s="3">
        <v>266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504"/>
        <v>1</v>
      </c>
      <c r="BC125" s="23">
        <f t="shared" si="785"/>
        <v>245</v>
      </c>
      <c r="BD125" s="5" t="s">
        <v>23</v>
      </c>
      <c r="BE125" s="3" t="s">
        <v>1368</v>
      </c>
      <c r="BF125" s="118">
        <v>3.5</v>
      </c>
      <c r="BG125" s="49" t="s">
        <v>1371</v>
      </c>
      <c r="BH125" s="49" t="s">
        <v>1371</v>
      </c>
      <c r="BI125" s="1"/>
      <c r="BJ125" s="70" t="s">
        <v>1281</v>
      </c>
      <c r="BK125" s="57" t="s">
        <v>1281</v>
      </c>
      <c r="BL125" s="57" t="s">
        <v>1281</v>
      </c>
      <c r="BM125" s="57" t="s">
        <v>1281</v>
      </c>
      <c r="BN125" s="57" t="s">
        <v>1281</v>
      </c>
      <c r="BO125" s="57" t="s">
        <v>1281</v>
      </c>
      <c r="BP125" s="57" t="s">
        <v>1281</v>
      </c>
      <c r="BQ125" s="57" t="s">
        <v>1281</v>
      </c>
      <c r="BR125" s="57" t="s">
        <v>1281</v>
      </c>
      <c r="BS125" s="57" t="s">
        <v>1281</v>
      </c>
      <c r="BT125" s="57" t="s">
        <v>1281</v>
      </c>
      <c r="BU125" s="57" t="s">
        <v>1281</v>
      </c>
      <c r="BV125" s="70">
        <f t="shared" si="786"/>
        <v>29</v>
      </c>
      <c r="BW125" s="71">
        <f t="shared" si="787"/>
        <v>62</v>
      </c>
      <c r="BX125" s="72">
        <f t="shared" si="788"/>
        <v>66</v>
      </c>
      <c r="BY125" s="71">
        <f t="shared" si="789"/>
        <v>98</v>
      </c>
      <c r="BZ125" s="72">
        <f t="shared" si="790"/>
        <v>102</v>
      </c>
      <c r="CA125" s="71" t="str">
        <f t="shared" si="791"/>
        <v>-</v>
      </c>
      <c r="CB125" s="72">
        <f t="shared" si="792"/>
        <v>146</v>
      </c>
      <c r="CC125" s="71">
        <f t="shared" si="793"/>
        <v>191</v>
      </c>
      <c r="CD125" s="72">
        <f t="shared" si="794"/>
        <v>196</v>
      </c>
      <c r="CE125" s="71">
        <f t="shared" si="795"/>
        <v>266</v>
      </c>
      <c r="CF125" s="72">
        <f t="shared" si="796"/>
        <v>304</v>
      </c>
      <c r="CG125" s="71">
        <f t="shared" si="797"/>
        <v>329</v>
      </c>
      <c r="CH125" s="70">
        <f t="shared" si="798"/>
        <v>61</v>
      </c>
      <c r="CI125" s="71">
        <f t="shared" si="799"/>
        <v>65</v>
      </c>
      <c r="CJ125" s="72">
        <f t="shared" si="800"/>
        <v>96</v>
      </c>
      <c r="CK125" s="72">
        <f t="shared" si="801"/>
        <v>101</v>
      </c>
      <c r="CL125" s="72">
        <f t="shared" si="802"/>
        <v>137</v>
      </c>
      <c r="CM125" s="72" t="str">
        <f t="shared" si="803"/>
        <v>-</v>
      </c>
      <c r="CN125" s="72">
        <f t="shared" si="804"/>
        <v>172</v>
      </c>
      <c r="CO125" s="72">
        <f t="shared" si="805"/>
        <v>193</v>
      </c>
      <c r="CP125" s="72">
        <f t="shared" si="806"/>
        <v>229</v>
      </c>
      <c r="CQ125" s="72">
        <f t="shared" si="807"/>
        <v>299</v>
      </c>
      <c r="CR125" s="72">
        <f t="shared" si="808"/>
        <v>328</v>
      </c>
      <c r="CS125" s="72">
        <f t="shared" si="809"/>
        <v>341</v>
      </c>
      <c r="CT125" s="23">
        <f t="shared" si="81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ht="17" customHeight="1" x14ac:dyDescent="0.2">
      <c r="A126" s="3" t="str">
        <f t="shared" si="503"/>
        <v>adrb2_human_3SN6</v>
      </c>
      <c r="B126" s="3" t="s">
        <v>126</v>
      </c>
      <c r="C126" s="3" t="s">
        <v>85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>P</v>
      </c>
      <c r="Y126" s="3">
        <v>138</v>
      </c>
      <c r="Z126" s="3" t="str">
        <f>IFERROR(MID(VLOOKUP($B126,Seqs!$A:$B,2,0),AA126,1),"")</f>
        <v>L</v>
      </c>
      <c r="AA126" s="3">
        <v>145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E</v>
      </c>
      <c r="AM126" s="3">
        <v>237</v>
      </c>
      <c r="AN126" s="3" t="str">
        <f>IFERROR(MID(VLOOKUP($B126,Seqs!$A:$B,2,0),AO126,1),"")</f>
        <v>C</v>
      </c>
      <c r="AO126" s="3">
        <v>265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504"/>
        <v>1</v>
      </c>
      <c r="BC126" s="23">
        <f t="shared" si="785"/>
        <v>261</v>
      </c>
      <c r="BD126" s="4" t="s">
        <v>1369</v>
      </c>
      <c r="BE126" s="3" t="s">
        <v>1285</v>
      </c>
      <c r="BF126" s="118">
        <v>3.2</v>
      </c>
      <c r="BG126" s="49" t="s">
        <v>1371</v>
      </c>
      <c r="BH126" s="49" t="s">
        <v>1371</v>
      </c>
      <c r="BI126" s="1"/>
      <c r="BJ126" s="70" t="s">
        <v>1281</v>
      </c>
      <c r="BK126" s="57" t="s">
        <v>1281</v>
      </c>
      <c r="BL126" s="57" t="s">
        <v>1281</v>
      </c>
      <c r="BM126" s="57" t="s">
        <v>1281</v>
      </c>
      <c r="BN126" s="57" t="s">
        <v>1281</v>
      </c>
      <c r="BO126" s="57" t="s">
        <v>1281</v>
      </c>
      <c r="BP126" s="57" t="s">
        <v>1281</v>
      </c>
      <c r="BQ126" s="57" t="s">
        <v>1281</v>
      </c>
      <c r="BR126" s="57" t="s">
        <v>1281</v>
      </c>
      <c r="BS126" s="57" t="s">
        <v>1281</v>
      </c>
      <c r="BT126" s="57" t="s">
        <v>1281</v>
      </c>
      <c r="BU126" s="57" t="s">
        <v>1281</v>
      </c>
      <c r="BV126" s="70">
        <f t="shared" si="786"/>
        <v>29</v>
      </c>
      <c r="BW126" s="71">
        <f t="shared" si="787"/>
        <v>62</v>
      </c>
      <c r="BX126" s="72">
        <f t="shared" si="788"/>
        <v>66</v>
      </c>
      <c r="BY126" s="71">
        <f t="shared" si="789"/>
        <v>98</v>
      </c>
      <c r="BZ126" s="72">
        <f t="shared" si="790"/>
        <v>102</v>
      </c>
      <c r="CA126" s="71">
        <f t="shared" si="791"/>
        <v>138</v>
      </c>
      <c r="CB126" s="72">
        <f t="shared" si="792"/>
        <v>146</v>
      </c>
      <c r="CC126" s="71">
        <f t="shared" si="793"/>
        <v>191</v>
      </c>
      <c r="CD126" s="72">
        <f t="shared" si="794"/>
        <v>196</v>
      </c>
      <c r="CE126" s="71">
        <f t="shared" si="795"/>
        <v>265</v>
      </c>
      <c r="CF126" s="72">
        <f t="shared" si="796"/>
        <v>304</v>
      </c>
      <c r="CG126" s="71">
        <f t="shared" si="797"/>
        <v>329</v>
      </c>
      <c r="CH126" s="70">
        <f t="shared" si="798"/>
        <v>61</v>
      </c>
      <c r="CI126" s="71">
        <f t="shared" si="799"/>
        <v>65</v>
      </c>
      <c r="CJ126" s="72">
        <f t="shared" si="800"/>
        <v>96</v>
      </c>
      <c r="CK126" s="72">
        <f t="shared" si="801"/>
        <v>101</v>
      </c>
      <c r="CL126" s="72">
        <f t="shared" si="802"/>
        <v>137</v>
      </c>
      <c r="CM126" s="72">
        <f t="shared" si="803"/>
        <v>145</v>
      </c>
      <c r="CN126" s="72">
        <f t="shared" si="804"/>
        <v>172</v>
      </c>
      <c r="CO126" s="72">
        <f t="shared" si="805"/>
        <v>193</v>
      </c>
      <c r="CP126" s="72">
        <f t="shared" si="806"/>
        <v>237</v>
      </c>
      <c r="CQ126" s="72">
        <f t="shared" si="807"/>
        <v>299</v>
      </c>
      <c r="CR126" s="72">
        <f t="shared" si="808"/>
        <v>328</v>
      </c>
      <c r="CS126" s="72">
        <f t="shared" si="809"/>
        <v>341</v>
      </c>
      <c r="CT126" s="23">
        <f t="shared" si="81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ht="17" customHeight="1" x14ac:dyDescent="0.2">
      <c r="A127" s="3" t="str">
        <f t="shared" ref="A127" si="979">CONCATENATE(B127,"_",C127)</f>
        <v>adrb2_human_4GBR</v>
      </c>
      <c r="B127" s="3" t="s">
        <v>126</v>
      </c>
      <c r="C127" s="3" t="s">
        <v>1100</v>
      </c>
      <c r="D127" s="3" t="str">
        <f>IFERROR(MID(VLOOKUP($B127,Seqs!$A:$B,2,0),E127,1),"")</f>
        <v>D</v>
      </c>
      <c r="E127" s="3">
        <v>29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K</v>
      </c>
      <c r="AM127" s="3">
        <v>232</v>
      </c>
      <c r="AN127" s="3" t="str">
        <f>IFERROR(MID(VLOOKUP($B127,Seqs!$A:$B,2,0),AO127,1),"")</f>
        <v>E</v>
      </c>
      <c r="AO127" s="3">
        <v>237</v>
      </c>
      <c r="AP127" s="3" t="str">
        <f>IFERROR(MID(VLOOKUP($B127,Seqs!$A:$B,2,0),AQ127,1),"")</f>
        <v>A</v>
      </c>
      <c r="AQ127" s="3">
        <v>271</v>
      </c>
      <c r="AR127" s="3" t="str">
        <f>IFERROR(MID(VLOOKUP($B127,Seqs!$A:$B,2,0),AS127,1),"")</f>
        <v>G</v>
      </c>
      <c r="AS127" s="3">
        <v>276</v>
      </c>
      <c r="AT127" s="3" t="str">
        <f>IFERROR(MID(VLOOKUP($B127,Seqs!$A:$B,2,0),AU127,1),"")</f>
        <v>D</v>
      </c>
      <c r="AU127" s="3">
        <v>300</v>
      </c>
      <c r="AV127" s="3" t="str">
        <f>IFERROR(MID(VLOOKUP($B127,Seqs!$A:$B,2,0),AW127,1),"")</f>
        <v>N</v>
      </c>
      <c r="AW127" s="3">
        <v>301</v>
      </c>
      <c r="AX127" s="3" t="str">
        <f>IFERROR(MID(VLOOKUP($B127,Seqs!$A:$B,2,0),AY127,1),"")</f>
        <v>W</v>
      </c>
      <c r="AY127" s="3">
        <v>313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98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981">_xlfn.AGGREGATE(9,6,CH127:CS127)-_xlfn.AGGREGATE(9,6,BV127:CG127)+12</f>
        <v>248</v>
      </c>
      <c r="BD127" s="4" t="s">
        <v>23</v>
      </c>
      <c r="BE127" s="3" t="s">
        <v>1368</v>
      </c>
      <c r="BF127" s="118">
        <v>3.99</v>
      </c>
      <c r="BG127" s="49" t="s">
        <v>1</v>
      </c>
      <c r="BH127" s="49" t="s">
        <v>1</v>
      </c>
      <c r="BI127" s="1"/>
      <c r="BJ127" s="70" t="s">
        <v>1281</v>
      </c>
      <c r="BK127" s="57" t="s">
        <v>1281</v>
      </c>
      <c r="BL127" s="57" t="s">
        <v>1281</v>
      </c>
      <c r="BM127" s="57" t="s">
        <v>1281</v>
      </c>
      <c r="BN127" s="57" t="s">
        <v>1281</v>
      </c>
      <c r="BO127" s="57" t="s">
        <v>1281</v>
      </c>
      <c r="BP127" s="57" t="s">
        <v>1281</v>
      </c>
      <c r="BQ127" s="57" t="s">
        <v>1281</v>
      </c>
      <c r="BR127" s="57" t="s">
        <v>1281</v>
      </c>
      <c r="BS127" s="57" t="s">
        <v>1281</v>
      </c>
      <c r="BT127" s="57" t="s">
        <v>1281</v>
      </c>
      <c r="BU127" s="57" t="s">
        <v>1281</v>
      </c>
      <c r="BV127" s="70">
        <f t="shared" ref="BV127" si="982">E127</f>
        <v>29</v>
      </c>
      <c r="BW127" s="71">
        <f t="shared" ref="BW127" si="983">I127</f>
        <v>62</v>
      </c>
      <c r="BX127" s="72">
        <f t="shared" ref="BX127" si="984">M127</f>
        <v>66</v>
      </c>
      <c r="BY127" s="71">
        <f t="shared" ref="BY127" si="985">Q127</f>
        <v>98</v>
      </c>
      <c r="BZ127" s="72">
        <f t="shared" ref="BZ127" si="986">U127</f>
        <v>102</v>
      </c>
      <c r="CA127" s="71" t="str">
        <f t="shared" ref="CA127" si="987">Y127</f>
        <v>-</v>
      </c>
      <c r="CB127" s="72">
        <f t="shared" ref="CB127" si="988">AC127</f>
        <v>146</v>
      </c>
      <c r="CC127" s="71">
        <f t="shared" ref="CC127" si="989">AG127</f>
        <v>191</v>
      </c>
      <c r="CD127" s="72">
        <f t="shared" ref="CD127" si="990">AK127</f>
        <v>196</v>
      </c>
      <c r="CE127" s="71">
        <f t="shared" ref="CE127" si="991">AO127</f>
        <v>237</v>
      </c>
      <c r="CF127" s="72">
        <f t="shared" ref="CF127" si="992">AS127</f>
        <v>276</v>
      </c>
      <c r="CG127" s="71">
        <f t="shared" ref="CG127" si="993">AW127</f>
        <v>301</v>
      </c>
      <c r="CH127" s="70">
        <f t="shared" ref="CH127" si="994">G127</f>
        <v>61</v>
      </c>
      <c r="CI127" s="71">
        <f t="shared" ref="CI127" si="995">K127</f>
        <v>65</v>
      </c>
      <c r="CJ127" s="72">
        <f t="shared" ref="CJ127" si="996">O127</f>
        <v>96</v>
      </c>
      <c r="CK127" s="72">
        <f t="shared" ref="CK127" si="997">S127</f>
        <v>101</v>
      </c>
      <c r="CL127" s="72">
        <f t="shared" ref="CL127" si="998">W127</f>
        <v>136</v>
      </c>
      <c r="CM127" s="72" t="str">
        <f t="shared" ref="CM127" si="999">AA127</f>
        <v>-</v>
      </c>
      <c r="CN127" s="72">
        <f t="shared" ref="CN127" si="1000">AE127</f>
        <v>172</v>
      </c>
      <c r="CO127" s="72">
        <f t="shared" ref="CO127" si="1001">AI127</f>
        <v>193</v>
      </c>
      <c r="CP127" s="72">
        <f t="shared" ref="CP127" si="1002">AM127</f>
        <v>232</v>
      </c>
      <c r="CQ127" s="72">
        <f t="shared" ref="CQ127" si="1003">AQ127</f>
        <v>271</v>
      </c>
      <c r="CR127" s="72">
        <f t="shared" ref="CR127" si="1004">AU127</f>
        <v>300</v>
      </c>
      <c r="CS127" s="72">
        <f t="shared" ref="CS127" si="1005">AY127</f>
        <v>313</v>
      </c>
      <c r="CT127" s="23">
        <f t="shared" ref="CT127" si="100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:A241" si="1007">CONCATENATE(B128,"_",C128)</f>
        <v>adrb2_human_4LDE</v>
      </c>
      <c r="B128" s="3" t="s">
        <v>126</v>
      </c>
      <c r="C128" s="3" t="s">
        <v>77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:BB241" si="100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85"/>
        <v>248</v>
      </c>
      <c r="BD128" s="4" t="s">
        <v>23</v>
      </c>
      <c r="BE128" s="3" t="s">
        <v>1285</v>
      </c>
      <c r="BF128" s="118">
        <v>2.79</v>
      </c>
      <c r="BG128" s="49" t="s">
        <v>1371</v>
      </c>
      <c r="BH128" s="49" t="s">
        <v>1371</v>
      </c>
      <c r="BI128" s="1"/>
      <c r="BJ128" s="70" t="s">
        <v>1281</v>
      </c>
      <c r="BK128" s="57" t="s">
        <v>1281</v>
      </c>
      <c r="BL128" s="57" t="s">
        <v>1281</v>
      </c>
      <c r="BM128" s="57" t="s">
        <v>1281</v>
      </c>
      <c r="BN128" s="57" t="s">
        <v>1281</v>
      </c>
      <c r="BO128" s="57" t="s">
        <v>1281</v>
      </c>
      <c r="BP128" s="57" t="s">
        <v>1281</v>
      </c>
      <c r="BQ128" s="57" t="s">
        <v>1281</v>
      </c>
      <c r="BR128" s="57" t="s">
        <v>1281</v>
      </c>
      <c r="BS128" s="57" t="s">
        <v>1281</v>
      </c>
      <c r="BT128" s="57" t="s">
        <v>1281</v>
      </c>
      <c r="BU128" s="57" t="s">
        <v>1281</v>
      </c>
      <c r="BV128" s="70">
        <f t="shared" si="786"/>
        <v>1029</v>
      </c>
      <c r="BW128" s="71">
        <f t="shared" si="787"/>
        <v>1062</v>
      </c>
      <c r="BX128" s="72">
        <f t="shared" si="788"/>
        <v>1066</v>
      </c>
      <c r="BY128" s="71">
        <f t="shared" si="789"/>
        <v>1098</v>
      </c>
      <c r="BZ128" s="72">
        <f t="shared" si="790"/>
        <v>1102</v>
      </c>
      <c r="CA128" s="71">
        <f t="shared" si="791"/>
        <v>1138</v>
      </c>
      <c r="CB128" s="72">
        <f t="shared" si="792"/>
        <v>1146</v>
      </c>
      <c r="CC128" s="71">
        <f t="shared" si="793"/>
        <v>1191</v>
      </c>
      <c r="CD128" s="72">
        <f t="shared" si="794"/>
        <v>1196</v>
      </c>
      <c r="CE128" s="71">
        <f t="shared" si="795"/>
        <v>1266</v>
      </c>
      <c r="CF128" s="72">
        <f t="shared" si="796"/>
        <v>1304</v>
      </c>
      <c r="CG128" s="71">
        <f t="shared" si="797"/>
        <v>1329</v>
      </c>
      <c r="CH128" s="70">
        <f t="shared" si="798"/>
        <v>1061</v>
      </c>
      <c r="CI128" s="71">
        <f t="shared" si="799"/>
        <v>1065</v>
      </c>
      <c r="CJ128" s="72">
        <f t="shared" si="800"/>
        <v>1096</v>
      </c>
      <c r="CK128" s="72">
        <f t="shared" si="801"/>
        <v>1101</v>
      </c>
      <c r="CL128" s="72">
        <f t="shared" si="802"/>
        <v>1137</v>
      </c>
      <c r="CM128" s="72">
        <f t="shared" si="803"/>
        <v>1145</v>
      </c>
      <c r="CN128" s="72">
        <f t="shared" si="804"/>
        <v>1172</v>
      </c>
      <c r="CO128" s="72">
        <f t="shared" si="805"/>
        <v>1193</v>
      </c>
      <c r="CP128" s="72">
        <f t="shared" si="806"/>
        <v>1225</v>
      </c>
      <c r="CQ128" s="72">
        <f t="shared" si="807"/>
        <v>1299</v>
      </c>
      <c r="CR128" s="72">
        <f t="shared" si="808"/>
        <v>1328</v>
      </c>
      <c r="CS128" s="72">
        <f t="shared" si="809"/>
        <v>1341</v>
      </c>
      <c r="CT128" s="23">
        <f t="shared" si="810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1007"/>
        <v>adrb2_human_4LDL</v>
      </c>
      <c r="B129" s="3" t="s">
        <v>126</v>
      </c>
      <c r="C129" s="3" t="s">
        <v>1038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1008"/>
        <v>1</v>
      </c>
      <c r="BC129" s="23">
        <f t="shared" si="785"/>
        <v>248</v>
      </c>
      <c r="BD129" s="4" t="s">
        <v>23</v>
      </c>
      <c r="BE129" s="3" t="s">
        <v>1285</v>
      </c>
      <c r="BF129" s="118">
        <v>3.1</v>
      </c>
      <c r="BG129" s="49" t="s">
        <v>1371</v>
      </c>
      <c r="BH129" s="49" t="s">
        <v>1371</v>
      </c>
      <c r="BI129" s="1"/>
      <c r="BJ129" s="70" t="s">
        <v>1281</v>
      </c>
      <c r="BK129" s="57" t="s">
        <v>1281</v>
      </c>
      <c r="BL129" s="57" t="s">
        <v>1281</v>
      </c>
      <c r="BM129" s="57" t="s">
        <v>1281</v>
      </c>
      <c r="BN129" s="57" t="s">
        <v>1281</v>
      </c>
      <c r="BO129" s="57" t="s">
        <v>1281</v>
      </c>
      <c r="BP129" s="57" t="s">
        <v>1281</v>
      </c>
      <c r="BQ129" s="57" t="s">
        <v>1281</v>
      </c>
      <c r="BR129" s="57" t="s">
        <v>1281</v>
      </c>
      <c r="BS129" s="57" t="s">
        <v>1281</v>
      </c>
      <c r="BT129" s="57" t="s">
        <v>1281</v>
      </c>
      <c r="BU129" s="57" t="s">
        <v>1281</v>
      </c>
      <c r="BV129" s="70">
        <f t="shared" si="786"/>
        <v>1029</v>
      </c>
      <c r="BW129" s="71">
        <f t="shared" si="787"/>
        <v>1062</v>
      </c>
      <c r="BX129" s="72">
        <f t="shared" si="788"/>
        <v>1066</v>
      </c>
      <c r="BY129" s="71">
        <f t="shared" si="789"/>
        <v>1098</v>
      </c>
      <c r="BZ129" s="72">
        <f t="shared" si="790"/>
        <v>1102</v>
      </c>
      <c r="CA129" s="71">
        <f t="shared" si="791"/>
        <v>1138</v>
      </c>
      <c r="CB129" s="72">
        <f t="shared" si="792"/>
        <v>1146</v>
      </c>
      <c r="CC129" s="71">
        <f t="shared" si="793"/>
        <v>1191</v>
      </c>
      <c r="CD129" s="72">
        <f t="shared" si="794"/>
        <v>1196</v>
      </c>
      <c r="CE129" s="71">
        <f t="shared" si="795"/>
        <v>1266</v>
      </c>
      <c r="CF129" s="72">
        <f t="shared" si="796"/>
        <v>1304</v>
      </c>
      <c r="CG129" s="71">
        <f t="shared" si="797"/>
        <v>1329</v>
      </c>
      <c r="CH129" s="70">
        <f t="shared" si="798"/>
        <v>1061</v>
      </c>
      <c r="CI129" s="71">
        <f t="shared" si="799"/>
        <v>1065</v>
      </c>
      <c r="CJ129" s="72">
        <f t="shared" si="800"/>
        <v>1096</v>
      </c>
      <c r="CK129" s="72">
        <f t="shared" si="801"/>
        <v>1101</v>
      </c>
      <c r="CL129" s="72">
        <f t="shared" si="802"/>
        <v>1137</v>
      </c>
      <c r="CM129" s="72">
        <f t="shared" si="803"/>
        <v>1145</v>
      </c>
      <c r="CN129" s="72">
        <f t="shared" si="804"/>
        <v>1172</v>
      </c>
      <c r="CO129" s="72">
        <f t="shared" si="805"/>
        <v>1193</v>
      </c>
      <c r="CP129" s="72">
        <f t="shared" si="806"/>
        <v>1225</v>
      </c>
      <c r="CQ129" s="72">
        <f t="shared" si="807"/>
        <v>1299</v>
      </c>
      <c r="CR129" s="72">
        <f t="shared" si="808"/>
        <v>1328</v>
      </c>
      <c r="CS129" s="72">
        <f t="shared" si="809"/>
        <v>1341</v>
      </c>
      <c r="CT129" s="23">
        <f t="shared" si="810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ht="17" customHeight="1" x14ac:dyDescent="0.2">
      <c r="A130" s="3" t="str">
        <f t="shared" si="1007"/>
        <v>adrb2_human_4LDO</v>
      </c>
      <c r="B130" s="3" t="s">
        <v>126</v>
      </c>
      <c r="C130" s="3" t="s">
        <v>1039</v>
      </c>
      <c r="D130" s="3" t="str">
        <f>IFERROR(MID(VLOOKUP($B130,Seqs!$A:$B,2,0),E130,1),"")</f>
        <v/>
      </c>
      <c r="E130" s="3">
        <v>1029</v>
      </c>
      <c r="F130" s="3" t="str">
        <f>IFERROR(MID(VLOOKUP($B130,Seqs!$A:$B,2,0),G130,1),"")</f>
        <v/>
      </c>
      <c r="G130" s="3">
        <v>1061</v>
      </c>
      <c r="H130" s="3" t="str">
        <f>IFERROR(MID(VLOOKUP($B130,Seqs!$A:$B,2,0),I130,1),"")</f>
        <v/>
      </c>
      <c r="I130" s="23">
        <v>1062</v>
      </c>
      <c r="J130" s="3" t="str">
        <f>IFERROR(MID(VLOOKUP($B130,Seqs!$A:$B,2,0),K130,1),"")</f>
        <v/>
      </c>
      <c r="K130" s="23">
        <v>1065</v>
      </c>
      <c r="L130" s="3" t="str">
        <f>IFERROR(MID(VLOOKUP($B130,Seqs!$A:$B,2,0),M130,1),"")</f>
        <v/>
      </c>
      <c r="M130" s="3">
        <v>1066</v>
      </c>
      <c r="N130" s="3" t="str">
        <f>IFERROR(MID(VLOOKUP($B130,Seqs!$A:$B,2,0),O130,1),"")</f>
        <v/>
      </c>
      <c r="O130" s="3">
        <v>1096</v>
      </c>
      <c r="P130" s="3" t="str">
        <f>IFERROR(MID(VLOOKUP($B130,Seqs!$A:$B,2,0),Q130,1),"")</f>
        <v/>
      </c>
      <c r="Q130" s="3">
        <v>1098</v>
      </c>
      <c r="R130" s="3" t="str">
        <f>IFERROR(MID(VLOOKUP($B130,Seqs!$A:$B,2,0),S130,1),"")</f>
        <v/>
      </c>
      <c r="S130" s="3">
        <v>1101</v>
      </c>
      <c r="T130" s="3" t="str">
        <f>IFERROR(MID(VLOOKUP($B130,Seqs!$A:$B,2,0),U130,1),"")</f>
        <v/>
      </c>
      <c r="U130" s="3">
        <v>1102</v>
      </c>
      <c r="V130" s="3" t="str">
        <f>IFERROR(MID(VLOOKUP($B130,Seqs!$A:$B,2,0),W130,1),"")</f>
        <v/>
      </c>
      <c r="W130" s="3">
        <v>1137</v>
      </c>
      <c r="X130" s="3" t="str">
        <f>IFERROR(MID(VLOOKUP($B130,Seqs!$A:$B,2,0),Y130,1),"")</f>
        <v/>
      </c>
      <c r="Y130" s="3">
        <v>1138</v>
      </c>
      <c r="Z130" s="3" t="str">
        <f>IFERROR(MID(VLOOKUP($B130,Seqs!$A:$B,2,0),AA130,1),"")</f>
        <v/>
      </c>
      <c r="AA130" s="3">
        <v>1145</v>
      </c>
      <c r="AB130" s="3" t="str">
        <f>IFERROR(MID(VLOOKUP($B130,Seqs!$A:$B,2,0),AC130,1),"")</f>
        <v/>
      </c>
      <c r="AC130" s="9">
        <v>1146</v>
      </c>
      <c r="AD130" s="3" t="str">
        <f>IFERROR(MID(VLOOKUP($B130,Seqs!$A:$B,2,0),AE130,1),"")</f>
        <v/>
      </c>
      <c r="AE130" s="3">
        <v>1172</v>
      </c>
      <c r="AF130" s="3" t="str">
        <f>IFERROR(MID(VLOOKUP($B130,Seqs!$A:$B,2,0),AG130,1),"")</f>
        <v/>
      </c>
      <c r="AG130" s="3">
        <v>1191</v>
      </c>
      <c r="AH130" s="3" t="str">
        <f>IFERROR(MID(VLOOKUP($B130,Seqs!$A:$B,2,0),AI130,1),"")</f>
        <v/>
      </c>
      <c r="AI130" s="3">
        <v>1193</v>
      </c>
      <c r="AJ130" s="3" t="str">
        <f>IFERROR(MID(VLOOKUP($B130,Seqs!$A:$B,2,0),AK130,1),"")</f>
        <v/>
      </c>
      <c r="AK130" s="3">
        <v>1196</v>
      </c>
      <c r="AL130" s="3" t="str">
        <f>IFERROR(MID(VLOOKUP($B130,Seqs!$A:$B,2,0),AM130,1),"")</f>
        <v/>
      </c>
      <c r="AM130" s="3">
        <v>1225</v>
      </c>
      <c r="AN130" s="3" t="str">
        <f>IFERROR(MID(VLOOKUP($B130,Seqs!$A:$B,2,0),AO130,1),"")</f>
        <v/>
      </c>
      <c r="AO130" s="3">
        <v>1266</v>
      </c>
      <c r="AP130" s="3" t="str">
        <f>IFERROR(MID(VLOOKUP($B130,Seqs!$A:$B,2,0),AQ130,1),"")</f>
        <v/>
      </c>
      <c r="AQ130" s="3">
        <v>1299</v>
      </c>
      <c r="AR130" s="3" t="str">
        <f>IFERROR(MID(VLOOKUP($B130,Seqs!$A:$B,2,0),AS130,1),"")</f>
        <v/>
      </c>
      <c r="AS130" s="3">
        <v>1304</v>
      </c>
      <c r="AT130" s="3" t="str">
        <f>IFERROR(MID(VLOOKUP($B130,Seqs!$A:$B,2,0),AU130,1),"")</f>
        <v/>
      </c>
      <c r="AU130" s="3">
        <v>1328</v>
      </c>
      <c r="AV130" s="3" t="str">
        <f>IFERROR(MID(VLOOKUP($B130,Seqs!$A:$B,2,0),AW130,1),"")</f>
        <v/>
      </c>
      <c r="AW130" s="3">
        <v>1329</v>
      </c>
      <c r="AX130" s="3" t="str">
        <f>IFERROR(MID(VLOOKUP($B130,Seqs!$A:$B,2,0),AY130,1),"")</f>
        <v/>
      </c>
      <c r="AY130" s="3">
        <v>1341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1008"/>
        <v>1</v>
      </c>
      <c r="BC130" s="23">
        <f t="shared" si="785"/>
        <v>248</v>
      </c>
      <c r="BD130" s="4" t="s">
        <v>23</v>
      </c>
      <c r="BE130" s="3" t="s">
        <v>1285</v>
      </c>
      <c r="BF130" s="118">
        <v>3.2</v>
      </c>
      <c r="BG130" s="49" t="s">
        <v>1371</v>
      </c>
      <c r="BH130" s="49" t="s">
        <v>1371</v>
      </c>
      <c r="BI130" s="1"/>
      <c r="BJ130" s="70" t="s">
        <v>1281</v>
      </c>
      <c r="BK130" s="57" t="s">
        <v>1281</v>
      </c>
      <c r="BL130" s="57" t="s">
        <v>1281</v>
      </c>
      <c r="BM130" s="57" t="s">
        <v>1281</v>
      </c>
      <c r="BN130" s="57" t="s">
        <v>1281</v>
      </c>
      <c r="BO130" s="57" t="s">
        <v>1281</v>
      </c>
      <c r="BP130" s="57" t="s">
        <v>1281</v>
      </c>
      <c r="BQ130" s="57" t="s">
        <v>1281</v>
      </c>
      <c r="BR130" s="57" t="s">
        <v>1281</v>
      </c>
      <c r="BS130" s="57" t="s">
        <v>1281</v>
      </c>
      <c r="BT130" s="57" t="s">
        <v>1281</v>
      </c>
      <c r="BU130" s="57" t="s">
        <v>1281</v>
      </c>
      <c r="BV130" s="70">
        <f t="shared" si="786"/>
        <v>1029</v>
      </c>
      <c r="BW130" s="71">
        <f t="shared" si="787"/>
        <v>1062</v>
      </c>
      <c r="BX130" s="72">
        <f t="shared" si="788"/>
        <v>1066</v>
      </c>
      <c r="BY130" s="71">
        <f t="shared" si="789"/>
        <v>1098</v>
      </c>
      <c r="BZ130" s="72">
        <f t="shared" si="790"/>
        <v>1102</v>
      </c>
      <c r="CA130" s="71">
        <f t="shared" si="791"/>
        <v>1138</v>
      </c>
      <c r="CB130" s="72">
        <f t="shared" si="792"/>
        <v>1146</v>
      </c>
      <c r="CC130" s="71">
        <f t="shared" si="793"/>
        <v>1191</v>
      </c>
      <c r="CD130" s="72">
        <f t="shared" si="794"/>
        <v>1196</v>
      </c>
      <c r="CE130" s="71">
        <f t="shared" si="795"/>
        <v>1266</v>
      </c>
      <c r="CF130" s="72">
        <f t="shared" si="796"/>
        <v>1304</v>
      </c>
      <c r="CG130" s="71">
        <f t="shared" si="797"/>
        <v>1329</v>
      </c>
      <c r="CH130" s="70">
        <f t="shared" si="798"/>
        <v>1061</v>
      </c>
      <c r="CI130" s="71">
        <f t="shared" si="799"/>
        <v>1065</v>
      </c>
      <c r="CJ130" s="72">
        <f t="shared" si="800"/>
        <v>1096</v>
      </c>
      <c r="CK130" s="72">
        <f t="shared" si="801"/>
        <v>1101</v>
      </c>
      <c r="CL130" s="72">
        <f t="shared" si="802"/>
        <v>1137</v>
      </c>
      <c r="CM130" s="72">
        <f t="shared" si="803"/>
        <v>1145</v>
      </c>
      <c r="CN130" s="72">
        <f t="shared" si="804"/>
        <v>1172</v>
      </c>
      <c r="CO130" s="72">
        <f t="shared" si="805"/>
        <v>1193</v>
      </c>
      <c r="CP130" s="72">
        <f t="shared" si="806"/>
        <v>1225</v>
      </c>
      <c r="CQ130" s="72">
        <f t="shared" si="807"/>
        <v>1299</v>
      </c>
      <c r="CR130" s="72">
        <f t="shared" si="808"/>
        <v>1328</v>
      </c>
      <c r="CS130" s="72">
        <f t="shared" si="809"/>
        <v>1341</v>
      </c>
      <c r="CT130" s="23">
        <f t="shared" si="810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007"/>
        <v>adrb2_human_4QKX</v>
      </c>
      <c r="B131" s="3" t="s">
        <v>126</v>
      </c>
      <c r="C131" s="3" t="s">
        <v>78</v>
      </c>
      <c r="D131" s="3" t="str">
        <f>IFERROR(MID(VLOOKUP($B131,Seqs!$A:$B,2,0),E131,1),"")</f>
        <v/>
      </c>
      <c r="E131" s="3">
        <v>1029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>
        <v>1138</v>
      </c>
      <c r="Z131" s="3" t="str">
        <f>IFERROR(MID(VLOOKUP($B131,Seqs!$A:$B,2,0),AA131,1),"")</f>
        <v/>
      </c>
      <c r="AA131" s="3">
        <v>1145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1225</v>
      </c>
      <c r="AN131" s="3" t="str">
        <f>IFERROR(MID(VLOOKUP($B131,Seqs!$A:$B,2,0),AO131,1),"")</f>
        <v/>
      </c>
      <c r="AO131" s="3">
        <v>1266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1008"/>
        <v>1</v>
      </c>
      <c r="BC131" s="23">
        <f t="shared" si="785"/>
        <v>248</v>
      </c>
      <c r="BD131" s="4" t="s">
        <v>23</v>
      </c>
      <c r="BE131" s="3" t="s">
        <v>1285</v>
      </c>
      <c r="BF131" s="118">
        <v>3.3</v>
      </c>
      <c r="BG131" s="49" t="s">
        <v>1371</v>
      </c>
      <c r="BH131" s="49" t="s">
        <v>1371</v>
      </c>
      <c r="BI131" s="1"/>
      <c r="BJ131" s="70" t="s">
        <v>1281</v>
      </c>
      <c r="BK131" s="57" t="s">
        <v>1281</v>
      </c>
      <c r="BL131" s="57" t="s">
        <v>1281</v>
      </c>
      <c r="BM131" s="57" t="s">
        <v>1281</v>
      </c>
      <c r="BN131" s="57" t="s">
        <v>1281</v>
      </c>
      <c r="BO131" s="57" t="s">
        <v>1281</v>
      </c>
      <c r="BP131" s="57" t="s">
        <v>1281</v>
      </c>
      <c r="BQ131" s="57" t="s">
        <v>1281</v>
      </c>
      <c r="BR131" s="57" t="s">
        <v>1281</v>
      </c>
      <c r="BS131" s="57" t="s">
        <v>1281</v>
      </c>
      <c r="BT131" s="57" t="s">
        <v>1281</v>
      </c>
      <c r="BU131" s="57" t="s">
        <v>1281</v>
      </c>
      <c r="BV131" s="70">
        <f t="shared" si="786"/>
        <v>1029</v>
      </c>
      <c r="BW131" s="71">
        <f t="shared" si="787"/>
        <v>1062</v>
      </c>
      <c r="BX131" s="72">
        <f t="shared" si="788"/>
        <v>1066</v>
      </c>
      <c r="BY131" s="71">
        <f t="shared" si="789"/>
        <v>1098</v>
      </c>
      <c r="BZ131" s="72">
        <f t="shared" si="790"/>
        <v>1102</v>
      </c>
      <c r="CA131" s="71">
        <f t="shared" si="791"/>
        <v>1138</v>
      </c>
      <c r="CB131" s="72">
        <f t="shared" si="792"/>
        <v>1146</v>
      </c>
      <c r="CC131" s="71">
        <f t="shared" si="793"/>
        <v>1191</v>
      </c>
      <c r="CD131" s="72">
        <f t="shared" si="794"/>
        <v>1196</v>
      </c>
      <c r="CE131" s="71">
        <f t="shared" si="795"/>
        <v>1266</v>
      </c>
      <c r="CF131" s="72">
        <f t="shared" si="796"/>
        <v>1304</v>
      </c>
      <c r="CG131" s="71">
        <f t="shared" si="797"/>
        <v>1329</v>
      </c>
      <c r="CH131" s="70">
        <f t="shared" si="798"/>
        <v>1061</v>
      </c>
      <c r="CI131" s="71">
        <f t="shared" si="799"/>
        <v>1065</v>
      </c>
      <c r="CJ131" s="72">
        <f t="shared" si="800"/>
        <v>1096</v>
      </c>
      <c r="CK131" s="72">
        <f t="shared" si="801"/>
        <v>1101</v>
      </c>
      <c r="CL131" s="72">
        <f t="shared" si="802"/>
        <v>1137</v>
      </c>
      <c r="CM131" s="72">
        <f t="shared" si="803"/>
        <v>1145</v>
      </c>
      <c r="CN131" s="72">
        <f t="shared" si="804"/>
        <v>1172</v>
      </c>
      <c r="CO131" s="72">
        <f t="shared" si="805"/>
        <v>1193</v>
      </c>
      <c r="CP131" s="72">
        <f t="shared" si="806"/>
        <v>1225</v>
      </c>
      <c r="CQ131" s="72">
        <f t="shared" si="807"/>
        <v>1299</v>
      </c>
      <c r="CR131" s="72">
        <f t="shared" si="808"/>
        <v>1328</v>
      </c>
      <c r="CS131" s="72">
        <f t="shared" si="809"/>
        <v>1341</v>
      </c>
      <c r="CT131" s="23">
        <f t="shared" si="810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007"/>
        <v>adrb2_human_5D6L</v>
      </c>
      <c r="B132" s="3" t="s">
        <v>126</v>
      </c>
      <c r="C132" s="3" t="s">
        <v>1337</v>
      </c>
      <c r="D132" s="3" t="str">
        <f>IFERROR(MID(VLOOKUP($B132,Seqs!$A:$B,2,0),E132,1),"")</f>
        <v>D</v>
      </c>
      <c r="E132" s="3">
        <v>29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1008"/>
        <v>1</v>
      </c>
      <c r="BC132" s="23">
        <f t="shared" si="785"/>
        <v>244</v>
      </c>
      <c r="BD132" s="4" t="s">
        <v>23</v>
      </c>
      <c r="BE132" s="3" t="s">
        <v>1368</v>
      </c>
      <c r="BF132" s="118">
        <v>3.2</v>
      </c>
      <c r="BG132" s="49" t="s">
        <v>1</v>
      </c>
      <c r="BH132" s="49" t="s">
        <v>1371</v>
      </c>
      <c r="BI132" s="1"/>
      <c r="BJ132" s="70" t="s">
        <v>1281</v>
      </c>
      <c r="BK132" s="57" t="s">
        <v>1281</v>
      </c>
      <c r="BL132" s="57" t="s">
        <v>1281</v>
      </c>
      <c r="BM132" s="57" t="s">
        <v>1281</v>
      </c>
      <c r="BN132" s="57" t="s">
        <v>1281</v>
      </c>
      <c r="BO132" s="57" t="s">
        <v>1281</v>
      </c>
      <c r="BP132" s="57" t="s">
        <v>1281</v>
      </c>
      <c r="BQ132" s="57" t="s">
        <v>1281</v>
      </c>
      <c r="BR132" s="57" t="s">
        <v>1281</v>
      </c>
      <c r="BS132" s="57" t="s">
        <v>1281</v>
      </c>
      <c r="BT132" s="57" t="s">
        <v>1281</v>
      </c>
      <c r="BU132" s="57" t="s">
        <v>1281</v>
      </c>
      <c r="BV132" s="70">
        <f t="shared" si="786"/>
        <v>29</v>
      </c>
      <c r="BW132" s="71">
        <f t="shared" si="787"/>
        <v>62</v>
      </c>
      <c r="BX132" s="72">
        <f t="shared" si="788"/>
        <v>66</v>
      </c>
      <c r="BY132" s="71">
        <f t="shared" si="789"/>
        <v>98</v>
      </c>
      <c r="BZ132" s="72">
        <f t="shared" si="790"/>
        <v>102</v>
      </c>
      <c r="CA132" s="71" t="str">
        <f t="shared" si="791"/>
        <v>-</v>
      </c>
      <c r="CB132" s="72">
        <f t="shared" si="792"/>
        <v>146</v>
      </c>
      <c r="CC132" s="71">
        <f t="shared" si="793"/>
        <v>191</v>
      </c>
      <c r="CD132" s="72">
        <f t="shared" si="794"/>
        <v>196</v>
      </c>
      <c r="CE132" s="71">
        <f t="shared" si="795"/>
        <v>267</v>
      </c>
      <c r="CF132" s="72">
        <f t="shared" si="796"/>
        <v>304</v>
      </c>
      <c r="CG132" s="71">
        <f t="shared" si="797"/>
        <v>329</v>
      </c>
      <c r="CH132" s="70">
        <f t="shared" si="798"/>
        <v>61</v>
      </c>
      <c r="CI132" s="71">
        <f t="shared" si="799"/>
        <v>65</v>
      </c>
      <c r="CJ132" s="72">
        <f t="shared" si="800"/>
        <v>96</v>
      </c>
      <c r="CK132" s="72">
        <f t="shared" si="801"/>
        <v>101</v>
      </c>
      <c r="CL132" s="72">
        <f t="shared" si="802"/>
        <v>137</v>
      </c>
      <c r="CM132" s="72" t="str">
        <f t="shared" si="803"/>
        <v>-</v>
      </c>
      <c r="CN132" s="72">
        <f t="shared" si="804"/>
        <v>172</v>
      </c>
      <c r="CO132" s="72">
        <f t="shared" si="805"/>
        <v>193</v>
      </c>
      <c r="CP132" s="72">
        <f t="shared" si="806"/>
        <v>229</v>
      </c>
      <c r="CQ132" s="72">
        <f t="shared" si="807"/>
        <v>299</v>
      </c>
      <c r="CR132" s="72">
        <f t="shared" si="808"/>
        <v>328</v>
      </c>
      <c r="CS132" s="72">
        <f t="shared" si="809"/>
        <v>341</v>
      </c>
      <c r="CT132" s="23">
        <f t="shared" si="810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1007"/>
        <v>adrb2_human_5JQH</v>
      </c>
      <c r="B133" s="3" t="s">
        <v>126</v>
      </c>
      <c r="C133" s="3" t="s">
        <v>1338</v>
      </c>
      <c r="D133" s="3" t="str">
        <f>IFERROR(MID(VLOOKUP($B133,Seqs!$A:$B,2,0),E133,1),"")</f>
        <v/>
      </c>
      <c r="E133" s="3">
        <v>1023</v>
      </c>
      <c r="F133" s="3" t="str">
        <f>IFERROR(MID(VLOOKUP($B133,Seqs!$A:$B,2,0),G133,1),"")</f>
        <v/>
      </c>
      <c r="G133" s="3">
        <v>1061</v>
      </c>
      <c r="H133" s="3" t="str">
        <f>IFERROR(MID(VLOOKUP($B133,Seqs!$A:$B,2,0),I133,1),"")</f>
        <v/>
      </c>
      <c r="I133" s="23">
        <v>1062</v>
      </c>
      <c r="J133" s="3" t="str">
        <f>IFERROR(MID(VLOOKUP($B133,Seqs!$A:$B,2,0),K133,1),"")</f>
        <v/>
      </c>
      <c r="K133" s="23">
        <v>1065</v>
      </c>
      <c r="L133" s="3" t="str">
        <f>IFERROR(MID(VLOOKUP($B133,Seqs!$A:$B,2,0),M133,1),"")</f>
        <v/>
      </c>
      <c r="M133" s="3">
        <v>1066</v>
      </c>
      <c r="N133" s="3" t="str">
        <f>IFERROR(MID(VLOOKUP($B133,Seqs!$A:$B,2,0),O133,1),"")</f>
        <v/>
      </c>
      <c r="O133" s="3">
        <v>1096</v>
      </c>
      <c r="P133" s="3" t="str">
        <f>IFERROR(MID(VLOOKUP($B133,Seqs!$A:$B,2,0),Q133,1),"")</f>
        <v/>
      </c>
      <c r="Q133" s="3">
        <v>1098</v>
      </c>
      <c r="R133" s="3" t="str">
        <f>IFERROR(MID(VLOOKUP($B133,Seqs!$A:$B,2,0),S133,1),"")</f>
        <v/>
      </c>
      <c r="S133" s="3">
        <v>1101</v>
      </c>
      <c r="T133" s="3" t="str">
        <f>IFERROR(MID(VLOOKUP($B133,Seqs!$A:$B,2,0),U133,1),"")</f>
        <v/>
      </c>
      <c r="U133" s="3">
        <v>1102</v>
      </c>
      <c r="V133" s="3" t="str">
        <f>IFERROR(MID(VLOOKUP($B133,Seqs!$A:$B,2,0),W133,1),"")</f>
        <v/>
      </c>
      <c r="W133" s="3">
        <v>1137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/>
      </c>
      <c r="AC133" s="9">
        <v>1146</v>
      </c>
      <c r="AD133" s="3" t="str">
        <f>IFERROR(MID(VLOOKUP($B133,Seqs!$A:$B,2,0),AE133,1),"")</f>
        <v/>
      </c>
      <c r="AE133" s="3">
        <v>1172</v>
      </c>
      <c r="AF133" s="3" t="str">
        <f>IFERROR(MID(VLOOKUP($B133,Seqs!$A:$B,2,0),AG133,1),"")</f>
        <v/>
      </c>
      <c r="AG133" s="3">
        <v>1191</v>
      </c>
      <c r="AH133" s="3" t="str">
        <f>IFERROR(MID(VLOOKUP($B133,Seqs!$A:$B,2,0),AI133,1),"")</f>
        <v/>
      </c>
      <c r="AI133" s="3">
        <v>1193</v>
      </c>
      <c r="AJ133" s="3" t="str">
        <f>IFERROR(MID(VLOOKUP($B133,Seqs!$A:$B,2,0),AK133,1),"")</f>
        <v/>
      </c>
      <c r="AK133" s="3">
        <v>1196</v>
      </c>
      <c r="AL133" s="3" t="str">
        <f>IFERROR(MID(VLOOKUP($B133,Seqs!$A:$B,2,0),AM133,1),"")</f>
        <v/>
      </c>
      <c r="AM133" s="3">
        <v>1230</v>
      </c>
      <c r="AN133" s="3" t="str">
        <f>IFERROR(MID(VLOOKUP($B133,Seqs!$A:$B,2,0),AO133,1),"")</f>
        <v/>
      </c>
      <c r="AO133" s="3">
        <v>1271</v>
      </c>
      <c r="AP133" s="3" t="str">
        <f>IFERROR(MID(VLOOKUP($B133,Seqs!$A:$B,2,0),AQ133,1),"")</f>
        <v/>
      </c>
      <c r="AQ133" s="3">
        <v>1299</v>
      </c>
      <c r="AR133" s="3" t="str">
        <f>IFERROR(MID(VLOOKUP($B133,Seqs!$A:$B,2,0),AS133,1),"")</f>
        <v/>
      </c>
      <c r="AS133" s="3">
        <v>1304</v>
      </c>
      <c r="AT133" s="3" t="str">
        <f>IFERROR(MID(VLOOKUP($B133,Seqs!$A:$B,2,0),AU133,1),"")</f>
        <v/>
      </c>
      <c r="AU133" s="3">
        <v>1328</v>
      </c>
      <c r="AV133" s="3" t="str">
        <f>IFERROR(MID(VLOOKUP($B133,Seqs!$A:$B,2,0),AW133,1),"")</f>
        <v/>
      </c>
      <c r="AW133" s="3">
        <v>1329</v>
      </c>
      <c r="AX133" s="3" t="str">
        <f>IFERROR(MID(VLOOKUP($B133,Seqs!$A:$B,2,0),AY133,1),"")</f>
        <v/>
      </c>
      <c r="AY133" s="3">
        <v>1341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1008"/>
        <v>1</v>
      </c>
      <c r="BC133" s="23">
        <f t="shared" si="785"/>
        <v>247</v>
      </c>
      <c r="BD133" s="74" t="s">
        <v>1370</v>
      </c>
      <c r="BE133" s="3" t="s">
        <v>1368</v>
      </c>
      <c r="BF133" s="118">
        <v>3.2</v>
      </c>
      <c r="BG133" s="49" t="s">
        <v>1275</v>
      </c>
      <c r="BH133" s="49" t="s">
        <v>1371</v>
      </c>
      <c r="BI133" s="1"/>
      <c r="BJ133" s="70" t="s">
        <v>1281</v>
      </c>
      <c r="BK133" s="57" t="s">
        <v>1281</v>
      </c>
      <c r="BL133" s="57" t="s">
        <v>1281</v>
      </c>
      <c r="BM133" s="57" t="s">
        <v>1281</v>
      </c>
      <c r="BN133" s="57" t="s">
        <v>1281</v>
      </c>
      <c r="BO133" s="57" t="s">
        <v>1281</v>
      </c>
      <c r="BP133" s="57" t="s">
        <v>1281</v>
      </c>
      <c r="BQ133" s="57" t="s">
        <v>1281</v>
      </c>
      <c r="BR133" s="57" t="s">
        <v>1281</v>
      </c>
      <c r="BS133" s="57" t="s">
        <v>1281</v>
      </c>
      <c r="BT133" s="57" t="s">
        <v>1281</v>
      </c>
      <c r="BU133" s="57" t="s">
        <v>1281</v>
      </c>
      <c r="BV133" s="70">
        <f t="shared" si="786"/>
        <v>1023</v>
      </c>
      <c r="BW133" s="71">
        <f t="shared" si="787"/>
        <v>1062</v>
      </c>
      <c r="BX133" s="72">
        <f t="shared" si="788"/>
        <v>1066</v>
      </c>
      <c r="BY133" s="71">
        <f t="shared" si="789"/>
        <v>1098</v>
      </c>
      <c r="BZ133" s="72">
        <f t="shared" si="790"/>
        <v>1102</v>
      </c>
      <c r="CA133" s="71" t="str">
        <f t="shared" si="791"/>
        <v>-</v>
      </c>
      <c r="CB133" s="72">
        <f t="shared" si="792"/>
        <v>1146</v>
      </c>
      <c r="CC133" s="71">
        <f t="shared" si="793"/>
        <v>1191</v>
      </c>
      <c r="CD133" s="72">
        <f t="shared" si="794"/>
        <v>1196</v>
      </c>
      <c r="CE133" s="71">
        <f t="shared" si="795"/>
        <v>1271</v>
      </c>
      <c r="CF133" s="72">
        <f t="shared" si="796"/>
        <v>1304</v>
      </c>
      <c r="CG133" s="71">
        <f t="shared" si="797"/>
        <v>1329</v>
      </c>
      <c r="CH133" s="70">
        <f t="shared" si="798"/>
        <v>1061</v>
      </c>
      <c r="CI133" s="71">
        <f t="shared" si="799"/>
        <v>1065</v>
      </c>
      <c r="CJ133" s="72">
        <f t="shared" si="800"/>
        <v>1096</v>
      </c>
      <c r="CK133" s="72">
        <f t="shared" si="801"/>
        <v>1101</v>
      </c>
      <c r="CL133" s="72">
        <f t="shared" si="802"/>
        <v>1137</v>
      </c>
      <c r="CM133" s="72" t="str">
        <f t="shared" si="803"/>
        <v>-</v>
      </c>
      <c r="CN133" s="72">
        <f t="shared" si="804"/>
        <v>1172</v>
      </c>
      <c r="CO133" s="72">
        <f t="shared" si="805"/>
        <v>1193</v>
      </c>
      <c r="CP133" s="72">
        <f t="shared" si="806"/>
        <v>1230</v>
      </c>
      <c r="CQ133" s="72">
        <f t="shared" si="807"/>
        <v>1299</v>
      </c>
      <c r="CR133" s="72">
        <f t="shared" si="808"/>
        <v>1328</v>
      </c>
      <c r="CS133" s="72">
        <f t="shared" si="809"/>
        <v>1341</v>
      </c>
      <c r="CT133" s="23">
        <f t="shared" si="81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ref="A134:A145" si="1009">CONCATENATE(B134,"_",C134)</f>
        <v>adrb2_human_5X7D</v>
      </c>
      <c r="B134" s="3" t="s">
        <v>126</v>
      </c>
      <c r="C134" s="3" t="s">
        <v>1431</v>
      </c>
      <c r="D134" s="3" t="str">
        <f>IFERROR(MID(VLOOKUP($B134,Seqs!$A:$B,2,0),E134,1),"")</f>
        <v>V</v>
      </c>
      <c r="E134" s="3">
        <v>33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M</v>
      </c>
      <c r="O134" s="3">
        <v>96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T</v>
      </c>
      <c r="W134" s="3">
        <v>136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3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L</v>
      </c>
      <c r="AM134" s="3">
        <v>230</v>
      </c>
      <c r="AN134" s="3" t="str">
        <f>IFERROR(MID(VLOOKUP($B134,Seqs!$A:$B,2,0),AO134,1),"")</f>
        <v>A</v>
      </c>
      <c r="AO134" s="3">
        <v>271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ref="BB134:BB146" si="101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:BC146" si="1011">_xlfn.AGGREGATE(9,6,CH134:CS134)-_xlfn.AGGREGATE(9,6,BV134:CG134)+12</f>
        <v>236</v>
      </c>
      <c r="BD134" s="74" t="s">
        <v>23</v>
      </c>
      <c r="BE134" s="3" t="s">
        <v>1368</v>
      </c>
      <c r="BF134" s="118">
        <v>4.2</v>
      </c>
      <c r="BG134" s="49" t="s">
        <v>1275</v>
      </c>
      <c r="BH134" s="49" t="s">
        <v>1371</v>
      </c>
      <c r="BI134" s="1"/>
      <c r="BJ134" s="70" t="s">
        <v>1281</v>
      </c>
      <c r="BK134" s="57" t="s">
        <v>1281</v>
      </c>
      <c r="BL134" s="57" t="s">
        <v>1281</v>
      </c>
      <c r="BM134" s="57" t="s">
        <v>1281</v>
      </c>
      <c r="BN134" s="57" t="s">
        <v>1281</v>
      </c>
      <c r="BO134" s="57" t="s">
        <v>1281</v>
      </c>
      <c r="BP134" s="57" t="s">
        <v>1281</v>
      </c>
      <c r="BQ134" s="57" t="s">
        <v>1281</v>
      </c>
      <c r="BR134" s="57" t="s">
        <v>1281</v>
      </c>
      <c r="BS134" s="57" t="s">
        <v>1281</v>
      </c>
      <c r="BT134" s="57" t="s">
        <v>1281</v>
      </c>
      <c r="BU134" s="57" t="s">
        <v>1281</v>
      </c>
      <c r="BV134" s="70">
        <f t="shared" ref="BV134:BV146" si="1012">E134</f>
        <v>33</v>
      </c>
      <c r="BW134" s="71">
        <f t="shared" ref="BW134:BW146" si="1013">I134</f>
        <v>62</v>
      </c>
      <c r="BX134" s="72">
        <f t="shared" ref="BX134:BX146" si="1014">M134</f>
        <v>66</v>
      </c>
      <c r="BY134" s="71">
        <f t="shared" ref="BY134:BY146" si="1015">Q134</f>
        <v>98</v>
      </c>
      <c r="BZ134" s="72">
        <f t="shared" ref="BZ134:BZ146" si="1016">U134</f>
        <v>102</v>
      </c>
      <c r="CA134" s="71" t="str">
        <f t="shared" ref="CA134:CA146" si="1017">Y134</f>
        <v>-</v>
      </c>
      <c r="CB134" s="72">
        <f t="shared" ref="CB134:CB146" si="1018">AC134</f>
        <v>146</v>
      </c>
      <c r="CC134" s="71">
        <f t="shared" ref="CC134:CC146" si="1019">AG134</f>
        <v>191</v>
      </c>
      <c r="CD134" s="72">
        <f t="shared" ref="CD134:CD146" si="1020">AK134</f>
        <v>196</v>
      </c>
      <c r="CE134" s="71">
        <f t="shared" ref="CE134:CE146" si="1021">AO134</f>
        <v>271</v>
      </c>
      <c r="CF134" s="72">
        <f t="shared" ref="CF134:CF146" si="1022">AS134</f>
        <v>304</v>
      </c>
      <c r="CG134" s="71">
        <f t="shared" ref="CG134:CG146" si="1023">AW134</f>
        <v>329</v>
      </c>
      <c r="CH134" s="70">
        <f t="shared" ref="CH134:CH146" si="1024">G134</f>
        <v>61</v>
      </c>
      <c r="CI134" s="71">
        <f t="shared" ref="CI134:CI146" si="1025">K134</f>
        <v>65</v>
      </c>
      <c r="CJ134" s="72">
        <f t="shared" ref="CJ134:CJ146" si="1026">O134</f>
        <v>96</v>
      </c>
      <c r="CK134" s="72">
        <f t="shared" ref="CK134:CK146" si="1027">S134</f>
        <v>101</v>
      </c>
      <c r="CL134" s="72">
        <f t="shared" ref="CL134:CL146" si="1028">W134</f>
        <v>136</v>
      </c>
      <c r="CM134" s="72" t="str">
        <f t="shared" ref="CM134:CM146" si="1029">AA134</f>
        <v>-</v>
      </c>
      <c r="CN134" s="72">
        <f t="shared" ref="CN134:CN146" si="1030">AE134</f>
        <v>172</v>
      </c>
      <c r="CO134" s="72">
        <f t="shared" ref="CO134:CO146" si="1031">AI134</f>
        <v>193</v>
      </c>
      <c r="CP134" s="72">
        <f t="shared" ref="CP134:CP146" si="1032">AM134</f>
        <v>230</v>
      </c>
      <c r="CQ134" s="72">
        <f t="shared" ref="CQ134:CQ146" si="1033">AQ134</f>
        <v>299</v>
      </c>
      <c r="CR134" s="72">
        <f t="shared" ref="CR134:CR146" si="1034">AU134</f>
        <v>328</v>
      </c>
      <c r="CS134" s="72">
        <f t="shared" ref="CS134:CS146" si="1035">AY134</f>
        <v>341</v>
      </c>
      <c r="CT134" s="23">
        <f t="shared" ref="CT134:CT146" si="1036"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9" t="str">
        <f t="shared" si="1009"/>
        <v>adrb2_human_6E67</v>
      </c>
      <c r="B135" s="9" t="s">
        <v>126</v>
      </c>
      <c r="C135" s="130" t="s">
        <v>1573</v>
      </c>
      <c r="D135" s="9" t="str">
        <f>IFERROR(MID(VLOOKUP($B135,Seqs!$A:$B,2,0),E135,1),"")</f>
        <v>D</v>
      </c>
      <c r="E135" s="9">
        <v>29</v>
      </c>
      <c r="F135" s="9" t="str">
        <f>IFERROR(MID(VLOOKUP($B135,Seqs!$A:$B,2,0),G135,1),"")</f>
        <v>K</v>
      </c>
      <c r="G135" s="9">
        <v>60</v>
      </c>
      <c r="H135" s="9" t="str">
        <f>IFERROR(MID(VLOOKUP($B135,Seqs!$A:$B,2,0),I135,1),"")</f>
        <v>E</v>
      </c>
      <c r="I135" s="109">
        <v>62</v>
      </c>
      <c r="J135" s="9" t="str">
        <f>IFERROR(MID(VLOOKUP($B135,Seqs!$A:$B,2,0),K135,1),"")</f>
        <v>Q</v>
      </c>
      <c r="K135" s="109">
        <v>65</v>
      </c>
      <c r="L135" s="9" t="str">
        <f>IFERROR(MID(VLOOKUP($B135,Seqs!$A:$B,2,0),M135,1),"")</f>
        <v>T</v>
      </c>
      <c r="M135" s="9">
        <v>66</v>
      </c>
      <c r="N135" s="9" t="str">
        <f>IFERROR(MID(VLOOKUP($B135,Seqs!$A:$B,2,0),O135,1),"")</f>
        <v>K</v>
      </c>
      <c r="O135" s="9">
        <v>97</v>
      </c>
      <c r="P135" s="9" t="str">
        <f>IFERROR(MID(VLOOKUP($B135,Seqs!$A:$B,2,0),Q135,1),"")</f>
        <v>M</v>
      </c>
      <c r="Q135" s="9">
        <v>98</v>
      </c>
      <c r="R135" s="9" t="str">
        <f>IFERROR(MID(VLOOKUP($B135,Seqs!$A:$B,2,0),S135,1),"")</f>
        <v>F</v>
      </c>
      <c r="S135" s="9">
        <v>101</v>
      </c>
      <c r="T135" s="9" t="str">
        <f>IFERROR(MID(VLOOKUP($B135,Seqs!$A:$B,2,0),U135,1),"")</f>
        <v>G</v>
      </c>
      <c r="U135" s="9">
        <v>102</v>
      </c>
      <c r="V135" s="9" t="str">
        <f>IFERROR(MID(VLOOKUP($B135,Seqs!$A:$B,2,0),W135,1),"")</f>
        <v>S</v>
      </c>
      <c r="W135" s="9">
        <v>137</v>
      </c>
      <c r="X135" s="9" t="str">
        <f>IFERROR(MID(VLOOKUP($B135,Seqs!$A:$B,2,0),Y135,1),"")</f>
        <v>P</v>
      </c>
      <c r="Y135" s="9">
        <v>138</v>
      </c>
      <c r="Z135" s="9" t="str">
        <f>IFERROR(MID(VLOOKUP($B135,Seqs!$A:$B,2,0),AA135,1),"")</f>
        <v>L</v>
      </c>
      <c r="AA135" s="9">
        <v>145</v>
      </c>
      <c r="AB135" s="9" t="str">
        <f>IFERROR(MID(VLOOKUP($B135,Seqs!$A:$B,2,0),AC135,1),"")</f>
        <v>T</v>
      </c>
      <c r="AC135" s="9">
        <v>146</v>
      </c>
      <c r="AD135" s="9" t="str">
        <f>IFERROR(MID(VLOOKUP($B135,Seqs!$A:$B,2,0),AE135,1),"")</f>
        <v>H</v>
      </c>
      <c r="AE135" s="9">
        <v>172</v>
      </c>
      <c r="AF135" s="9" t="str">
        <f>IFERROR(MID(VLOOKUP($B135,Seqs!$A:$B,2,0),AG135,1),"")</f>
        <v>C</v>
      </c>
      <c r="AG135" s="9">
        <v>191</v>
      </c>
      <c r="AH135" s="9" t="str">
        <f>IFERROR(MID(VLOOKUP($B135,Seqs!$A:$B,2,0),AI135,1),"")</f>
        <v>F</v>
      </c>
      <c r="AI135" s="9">
        <v>193</v>
      </c>
      <c r="AJ135" s="9" t="str">
        <f>IFERROR(MID(VLOOKUP($B135,Seqs!$A:$B,2,0),AK135,1),"")</f>
        <v>N</v>
      </c>
      <c r="AK135" s="9">
        <v>196</v>
      </c>
      <c r="AL135" s="9" t="str">
        <f>IFERROR(MID(VLOOKUP($B135,Seqs!$A:$B,2,0),AM135,1),"")</f>
        <v>A</v>
      </c>
      <c r="AM135" s="9">
        <v>226</v>
      </c>
      <c r="AN135" s="9" t="str">
        <f>IFERROR(MID(VLOOKUP($B135,Seqs!$A:$B,2,0),AO135,1),"")</f>
        <v>E</v>
      </c>
      <c r="AO135" s="9">
        <v>268</v>
      </c>
      <c r="AP135" s="9" t="str">
        <f>IFERROR(MID(VLOOKUP($B135,Seqs!$A:$B,2,0),AQ135,1),"")</f>
        <v>Q</v>
      </c>
      <c r="AQ135" s="9">
        <v>299</v>
      </c>
      <c r="AR135" s="9" t="str">
        <f>IFERROR(MID(VLOOKUP($B135,Seqs!$A:$B,2,0),AS135,1),"")</f>
        <v>R</v>
      </c>
      <c r="AS135" s="9">
        <v>304</v>
      </c>
      <c r="AT135" s="9" t="str">
        <f>IFERROR(MID(VLOOKUP($B135,Seqs!$A:$B,2,0),AU135,1),"")</f>
        <v>P</v>
      </c>
      <c r="AU135" s="9">
        <v>323</v>
      </c>
      <c r="AV135" s="9" t="str">
        <f>IFERROR(MID(VLOOKUP($B135,Seqs!$A:$B,2,0),AW135,1),"")</f>
        <v>S</v>
      </c>
      <c r="AW135" s="9">
        <v>329</v>
      </c>
      <c r="AX135" s="9" t="str">
        <f>IFERROR(MID(VLOOKUP($B135,Seqs!$A:$B,2,0),AY135,1),"")</f>
        <v>L</v>
      </c>
      <c r="AY135" s="9">
        <v>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1010"/>
        <v>1</v>
      </c>
      <c r="BC135" s="109">
        <f t="shared" si="1011"/>
        <v>241</v>
      </c>
      <c r="BD135" s="123" t="s">
        <v>23</v>
      </c>
      <c r="BE135" s="9" t="s">
        <v>1285</v>
      </c>
      <c r="BF135" s="119">
        <v>3.7</v>
      </c>
      <c r="BG135" s="51" t="s">
        <v>1275</v>
      </c>
      <c r="BH135" s="51" t="s">
        <v>1275</v>
      </c>
      <c r="BI135" s="12"/>
      <c r="BJ135" s="111" t="s">
        <v>1281</v>
      </c>
      <c r="BK135" s="112" t="s">
        <v>1281</v>
      </c>
      <c r="BL135" s="112" t="s">
        <v>1281</v>
      </c>
      <c r="BM135" s="112" t="s">
        <v>1281</v>
      </c>
      <c r="BN135" s="112" t="s">
        <v>1281</v>
      </c>
      <c r="BO135" s="112" t="s">
        <v>1281</v>
      </c>
      <c r="BP135" s="112" t="s">
        <v>1281</v>
      </c>
      <c r="BQ135" s="112" t="s">
        <v>1281</v>
      </c>
      <c r="BR135" s="112" t="s">
        <v>1281</v>
      </c>
      <c r="BS135" s="112" t="s">
        <v>1281</v>
      </c>
      <c r="BT135" s="112" t="s">
        <v>1281</v>
      </c>
      <c r="BU135" s="112" t="s">
        <v>1281</v>
      </c>
      <c r="BV135" s="111">
        <f t="shared" si="1012"/>
        <v>29</v>
      </c>
      <c r="BW135" s="113">
        <f t="shared" si="1013"/>
        <v>62</v>
      </c>
      <c r="BX135" s="114">
        <f t="shared" si="1014"/>
        <v>66</v>
      </c>
      <c r="BY135" s="113">
        <f t="shared" si="1015"/>
        <v>98</v>
      </c>
      <c r="BZ135" s="114">
        <f t="shared" si="1016"/>
        <v>102</v>
      </c>
      <c r="CA135" s="113">
        <f t="shared" si="1017"/>
        <v>138</v>
      </c>
      <c r="CB135" s="114">
        <f t="shared" si="1018"/>
        <v>146</v>
      </c>
      <c r="CC135" s="113">
        <f t="shared" si="1019"/>
        <v>191</v>
      </c>
      <c r="CD135" s="114">
        <f t="shared" si="1020"/>
        <v>196</v>
      </c>
      <c r="CE135" s="113">
        <f t="shared" si="1021"/>
        <v>268</v>
      </c>
      <c r="CF135" s="114">
        <f t="shared" si="1022"/>
        <v>304</v>
      </c>
      <c r="CG135" s="113">
        <f t="shared" si="1023"/>
        <v>329</v>
      </c>
      <c r="CH135" s="111">
        <f t="shared" si="1024"/>
        <v>60</v>
      </c>
      <c r="CI135" s="113">
        <f t="shared" si="1025"/>
        <v>65</v>
      </c>
      <c r="CJ135" s="114">
        <f t="shared" si="1026"/>
        <v>97</v>
      </c>
      <c r="CK135" s="114">
        <f t="shared" si="1027"/>
        <v>101</v>
      </c>
      <c r="CL135" s="114">
        <f t="shared" si="1028"/>
        <v>137</v>
      </c>
      <c r="CM135" s="114">
        <f t="shared" si="1029"/>
        <v>145</v>
      </c>
      <c r="CN135" s="114">
        <f t="shared" si="1030"/>
        <v>172</v>
      </c>
      <c r="CO135" s="114">
        <f t="shared" si="1031"/>
        <v>193</v>
      </c>
      <c r="CP135" s="114">
        <f t="shared" si="1032"/>
        <v>226</v>
      </c>
      <c r="CQ135" s="114">
        <f t="shared" si="1033"/>
        <v>299</v>
      </c>
      <c r="CR135" s="114">
        <f t="shared" si="1034"/>
        <v>323</v>
      </c>
      <c r="CS135" s="114">
        <f t="shared" si="1035"/>
        <v>340</v>
      </c>
      <c r="CT135" s="109">
        <f t="shared" si="103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si="1009"/>
        <v>adrb2_human_6MXT</v>
      </c>
      <c r="B136" s="9" t="s">
        <v>126</v>
      </c>
      <c r="C136" s="9" t="s">
        <v>1520</v>
      </c>
      <c r="D136" s="9" t="str">
        <f>IFERROR(MID(VLOOKUP($B136,Seqs!$A:$B,2,0),E136,1),"")</f>
        <v/>
      </c>
      <c r="E136" s="9">
        <v>1029</v>
      </c>
      <c r="F136" s="9" t="str">
        <f>IFERROR(MID(VLOOKUP($B136,Seqs!$A:$B,2,0),G136,1),"")</f>
        <v/>
      </c>
      <c r="G136" s="9">
        <v>1061</v>
      </c>
      <c r="H136" s="9" t="str">
        <f>IFERROR(MID(VLOOKUP($B136,Seqs!$A:$B,2,0),I136,1),"")</f>
        <v/>
      </c>
      <c r="I136" s="109">
        <v>1062</v>
      </c>
      <c r="J136" s="9" t="str">
        <f>IFERROR(MID(VLOOKUP($B136,Seqs!$A:$B,2,0),K136,1),"")</f>
        <v/>
      </c>
      <c r="K136" s="109">
        <v>1065</v>
      </c>
      <c r="L136" s="9" t="str">
        <f>IFERROR(MID(VLOOKUP($B136,Seqs!$A:$B,2,0),M136,1),"")</f>
        <v/>
      </c>
      <c r="M136" s="9">
        <v>1066</v>
      </c>
      <c r="N136" s="9" t="str">
        <f>IFERROR(MID(VLOOKUP($B136,Seqs!$A:$B,2,0),O136,1),"")</f>
        <v/>
      </c>
      <c r="O136" s="9">
        <v>1096</v>
      </c>
      <c r="P136" s="9" t="str">
        <f>IFERROR(MID(VLOOKUP($B136,Seqs!$A:$B,2,0),Q136,1),"")</f>
        <v/>
      </c>
      <c r="Q136" s="9">
        <v>1098</v>
      </c>
      <c r="R136" s="9" t="str">
        <f>IFERROR(MID(VLOOKUP($B136,Seqs!$A:$B,2,0),S136,1),"")</f>
        <v/>
      </c>
      <c r="S136" s="9">
        <v>1101</v>
      </c>
      <c r="T136" s="9" t="str">
        <f>IFERROR(MID(VLOOKUP($B136,Seqs!$A:$B,2,0),U136,1),"")</f>
        <v/>
      </c>
      <c r="U136" s="9">
        <v>1102</v>
      </c>
      <c r="V136" s="9" t="str">
        <f>IFERROR(MID(VLOOKUP($B136,Seqs!$A:$B,2,0),W136,1),"")</f>
        <v/>
      </c>
      <c r="W136" s="9">
        <v>1137</v>
      </c>
      <c r="X136" s="9" t="str">
        <f>IFERROR(MID(VLOOKUP($B136,Seqs!$A:$B,2,0),Y136,1),"")</f>
        <v/>
      </c>
      <c r="Y136" s="9">
        <v>1138</v>
      </c>
      <c r="Z136" s="9" t="str">
        <f>IFERROR(MID(VLOOKUP($B136,Seqs!$A:$B,2,0),AA136,1),"")</f>
        <v/>
      </c>
      <c r="AA136" s="9">
        <v>1145</v>
      </c>
      <c r="AB136" s="9" t="str">
        <f>IFERROR(MID(VLOOKUP($B136,Seqs!$A:$B,2,0),AC136,1),"")</f>
        <v/>
      </c>
      <c r="AC136" s="9">
        <v>1146</v>
      </c>
      <c r="AD136" s="9" t="str">
        <f>IFERROR(MID(VLOOKUP($B136,Seqs!$A:$B,2,0),AE136,1),"")</f>
        <v/>
      </c>
      <c r="AE136" s="9">
        <v>1172</v>
      </c>
      <c r="AF136" s="9" t="str">
        <f>IFERROR(MID(VLOOKUP($B136,Seqs!$A:$B,2,0),AG136,1),"")</f>
        <v/>
      </c>
      <c r="AG136" s="9">
        <v>1191</v>
      </c>
      <c r="AH136" s="9" t="str">
        <f>IFERROR(MID(VLOOKUP($B136,Seqs!$A:$B,2,0),AI136,1),"")</f>
        <v/>
      </c>
      <c r="AI136" s="9">
        <v>1193</v>
      </c>
      <c r="AJ136" s="9" t="str">
        <f>IFERROR(MID(VLOOKUP($B136,Seqs!$A:$B,2,0),AK136,1),"")</f>
        <v/>
      </c>
      <c r="AK136" s="9">
        <v>1196</v>
      </c>
      <c r="AL136" s="9" t="str">
        <f>IFERROR(MID(VLOOKUP($B136,Seqs!$A:$B,2,0),AM136,1),"")</f>
        <v/>
      </c>
      <c r="AM136" s="9">
        <v>1232</v>
      </c>
      <c r="AN136" s="9" t="str">
        <f>IFERROR(MID(VLOOKUP($B136,Seqs!$A:$B,2,0),AO136,1),"")</f>
        <v/>
      </c>
      <c r="AO136" s="9">
        <v>1265</v>
      </c>
      <c r="AP136" s="9" t="str">
        <f>IFERROR(MID(VLOOKUP($B136,Seqs!$A:$B,2,0),AQ136,1),"")</f>
        <v/>
      </c>
      <c r="AQ136" s="9">
        <v>1299</v>
      </c>
      <c r="AR136" s="9" t="str">
        <f>IFERROR(MID(VLOOKUP($B136,Seqs!$A:$B,2,0),AS136,1),"")</f>
        <v/>
      </c>
      <c r="AS136" s="9">
        <v>1304</v>
      </c>
      <c r="AT136" s="9" t="str">
        <f>IFERROR(MID(VLOOKUP($B136,Seqs!$A:$B,2,0),AU136,1),"")</f>
        <v/>
      </c>
      <c r="AU136" s="9">
        <v>1323</v>
      </c>
      <c r="AV136" s="9" t="str">
        <f>IFERROR(MID(VLOOKUP($B136,Seqs!$A:$B,2,0),AW136,1),"")</f>
        <v/>
      </c>
      <c r="AW136" s="9">
        <v>1329</v>
      </c>
      <c r="AX136" s="9" t="str">
        <f>IFERROR(MID(VLOOKUP($B136,Seqs!$A:$B,2,0),AY136,1),"")</f>
        <v/>
      </c>
      <c r="AY136" s="9">
        <v>1342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1010"/>
        <v>1</v>
      </c>
      <c r="BC136" s="109">
        <f t="shared" si="1011"/>
        <v>252</v>
      </c>
      <c r="BD136" s="123" t="s">
        <v>23</v>
      </c>
      <c r="BE136" s="9" t="s">
        <v>1285</v>
      </c>
      <c r="BF136" s="119">
        <v>2.96</v>
      </c>
      <c r="BG136" s="51" t="s">
        <v>1</v>
      </c>
      <c r="BH136" s="51" t="s">
        <v>1</v>
      </c>
      <c r="BJ136" s="111" t="s">
        <v>1281</v>
      </c>
      <c r="BK136" s="112" t="s">
        <v>1281</v>
      </c>
      <c r="BL136" s="112" t="s">
        <v>1281</v>
      </c>
      <c r="BM136" s="112" t="s">
        <v>1281</v>
      </c>
      <c r="BN136" s="112" t="s">
        <v>1281</v>
      </c>
      <c r="BO136" s="112" t="s">
        <v>1281</v>
      </c>
      <c r="BP136" s="112" t="s">
        <v>1281</v>
      </c>
      <c r="BQ136" s="112" t="s">
        <v>1281</v>
      </c>
      <c r="BR136" s="112" t="s">
        <v>1281</v>
      </c>
      <c r="BS136" s="112" t="s">
        <v>1281</v>
      </c>
      <c r="BT136" s="112" t="s">
        <v>1281</v>
      </c>
      <c r="BU136" s="112" t="s">
        <v>1281</v>
      </c>
      <c r="BV136" s="111">
        <f t="shared" si="1012"/>
        <v>1029</v>
      </c>
      <c r="BW136" s="113">
        <f t="shared" si="1013"/>
        <v>1062</v>
      </c>
      <c r="BX136" s="114">
        <f t="shared" si="1014"/>
        <v>1066</v>
      </c>
      <c r="BY136" s="113">
        <f t="shared" si="1015"/>
        <v>1098</v>
      </c>
      <c r="BZ136" s="114">
        <f t="shared" si="1016"/>
        <v>1102</v>
      </c>
      <c r="CA136" s="113">
        <f t="shared" si="1017"/>
        <v>1138</v>
      </c>
      <c r="CB136" s="114">
        <f t="shared" si="1018"/>
        <v>1146</v>
      </c>
      <c r="CC136" s="113">
        <f t="shared" si="1019"/>
        <v>1191</v>
      </c>
      <c r="CD136" s="114">
        <f t="shared" si="1020"/>
        <v>1196</v>
      </c>
      <c r="CE136" s="113">
        <f t="shared" si="1021"/>
        <v>1265</v>
      </c>
      <c r="CF136" s="114">
        <f t="shared" si="1022"/>
        <v>1304</v>
      </c>
      <c r="CG136" s="113">
        <f t="shared" si="1023"/>
        <v>1329</v>
      </c>
      <c r="CH136" s="111">
        <f t="shared" si="1024"/>
        <v>1061</v>
      </c>
      <c r="CI136" s="113">
        <f t="shared" si="1025"/>
        <v>1065</v>
      </c>
      <c r="CJ136" s="114">
        <f t="shared" si="1026"/>
        <v>1096</v>
      </c>
      <c r="CK136" s="114">
        <f t="shared" si="1027"/>
        <v>1101</v>
      </c>
      <c r="CL136" s="114">
        <f t="shared" si="1028"/>
        <v>1137</v>
      </c>
      <c r="CM136" s="114">
        <f t="shared" si="1029"/>
        <v>1145</v>
      </c>
      <c r="CN136" s="114">
        <f t="shared" si="1030"/>
        <v>1172</v>
      </c>
      <c r="CO136" s="114">
        <f t="shared" si="1031"/>
        <v>1193</v>
      </c>
      <c r="CP136" s="114">
        <f t="shared" si="1032"/>
        <v>1232</v>
      </c>
      <c r="CQ136" s="114">
        <f t="shared" si="1033"/>
        <v>1299</v>
      </c>
      <c r="CR136" s="114">
        <f t="shared" si="1034"/>
        <v>1323</v>
      </c>
      <c r="CS136" s="114">
        <f t="shared" si="1035"/>
        <v>1342</v>
      </c>
      <c r="CT136" s="109">
        <f t="shared" si="1036"/>
        <v>1</v>
      </c>
    </row>
    <row r="137" spans="1:1029" s="12" customFormat="1" x14ac:dyDescent="0.2">
      <c r="A137" s="9" t="str">
        <f t="shared" si="1009"/>
        <v>adrb2_human_6N48</v>
      </c>
      <c r="B137" s="9" t="s">
        <v>126</v>
      </c>
      <c r="C137" s="9" t="s">
        <v>1575</v>
      </c>
      <c r="D137" s="9" t="str">
        <f>IFERROR(MID(VLOOKUP($B137,Seqs!$A:$B,2,0),E137,1),"")</f>
        <v/>
      </c>
      <c r="E137" s="9">
        <v>1026</v>
      </c>
      <c r="F137" s="9" t="str">
        <f>IFERROR(MID(VLOOKUP($B137,Seqs!$A:$B,2,0),G137,1),"")</f>
        <v/>
      </c>
      <c r="G137" s="9">
        <v>1061</v>
      </c>
      <c r="H137" s="9" t="str">
        <f>IFERROR(MID(VLOOKUP($B137,Seqs!$A:$B,2,0),I137,1),"")</f>
        <v/>
      </c>
      <c r="I137" s="109">
        <v>1062</v>
      </c>
      <c r="J137" s="9" t="str">
        <f>IFERROR(MID(VLOOKUP($B137,Seqs!$A:$B,2,0),K137,1),"")</f>
        <v/>
      </c>
      <c r="K137" s="109">
        <v>1065</v>
      </c>
      <c r="L137" s="9" t="str">
        <f>IFERROR(MID(VLOOKUP($B137,Seqs!$A:$B,2,0),M137,1),"")</f>
        <v/>
      </c>
      <c r="M137" s="9">
        <v>1066</v>
      </c>
      <c r="N137" s="9" t="str">
        <f>IFERROR(MID(VLOOKUP($B137,Seqs!$A:$B,2,0),O137,1),"")</f>
        <v/>
      </c>
      <c r="O137" s="9">
        <v>1097</v>
      </c>
      <c r="P137" s="9" t="str">
        <f>IFERROR(MID(VLOOKUP($B137,Seqs!$A:$B,2,0),Q137,1),"")</f>
        <v/>
      </c>
      <c r="Q137" s="9">
        <v>1098</v>
      </c>
      <c r="R137" s="9" t="str">
        <f>IFERROR(MID(VLOOKUP($B137,Seqs!$A:$B,2,0),S137,1),"")</f>
        <v/>
      </c>
      <c r="S137" s="9">
        <v>1101</v>
      </c>
      <c r="T137" s="9" t="str">
        <f>IFERROR(MID(VLOOKUP($B137,Seqs!$A:$B,2,0),U137,1),"")</f>
        <v/>
      </c>
      <c r="U137" s="9">
        <v>1102</v>
      </c>
      <c r="V137" s="9" t="str">
        <f>IFERROR(MID(VLOOKUP($B137,Seqs!$A:$B,2,0),W137,1),"")</f>
        <v/>
      </c>
      <c r="W137" s="9">
        <v>1137</v>
      </c>
      <c r="X137" s="9" t="str">
        <f>IFERROR(MID(VLOOKUP($B137,Seqs!$A:$B,2,0),Y137,1),"")</f>
        <v/>
      </c>
      <c r="Y137" s="9">
        <v>1138</v>
      </c>
      <c r="Z137" s="9" t="str">
        <f>IFERROR(MID(VLOOKUP($B137,Seqs!$A:$B,2,0),AA137,1),"")</f>
        <v/>
      </c>
      <c r="AA137" s="9">
        <v>1145</v>
      </c>
      <c r="AB137" s="9" t="str">
        <f>IFERROR(MID(VLOOKUP($B137,Seqs!$A:$B,2,0),AC137,1),"")</f>
        <v/>
      </c>
      <c r="AC137" s="9">
        <v>1146</v>
      </c>
      <c r="AD137" s="9" t="str">
        <f>IFERROR(MID(VLOOKUP($B137,Seqs!$A:$B,2,0),AE137,1),"")</f>
        <v/>
      </c>
      <c r="AE137" s="9">
        <v>1172</v>
      </c>
      <c r="AF137" s="9" t="str">
        <f>IFERROR(MID(VLOOKUP($B137,Seqs!$A:$B,2,0),AG137,1),"")</f>
        <v/>
      </c>
      <c r="AG137" s="9">
        <v>1191</v>
      </c>
      <c r="AH137" s="9" t="str">
        <f>IFERROR(MID(VLOOKUP($B137,Seqs!$A:$B,2,0),AI137,1),"")</f>
        <v/>
      </c>
      <c r="AI137" s="9">
        <v>1193</v>
      </c>
      <c r="AJ137" s="9" t="str">
        <f>IFERROR(MID(VLOOKUP($B137,Seqs!$A:$B,2,0),AK137,1),"")</f>
        <v/>
      </c>
      <c r="AK137" s="9">
        <v>1196</v>
      </c>
      <c r="AL137" s="9" t="str">
        <f>IFERROR(MID(VLOOKUP($B137,Seqs!$A:$B,2,0),AM137,1),"")</f>
        <v/>
      </c>
      <c r="AM137" s="9">
        <v>1226</v>
      </c>
      <c r="AN137" s="9" t="str">
        <f>IFERROR(MID(VLOOKUP($B137,Seqs!$A:$B,2,0),AO137,1),"")</f>
        <v/>
      </c>
      <c r="AO137" s="9">
        <v>1265</v>
      </c>
      <c r="AP137" s="9" t="str">
        <f>IFERROR(MID(VLOOKUP($B137,Seqs!$A:$B,2,0),AQ137,1),"")</f>
        <v/>
      </c>
      <c r="AQ137" s="9">
        <v>1299</v>
      </c>
      <c r="AR137" s="9" t="str">
        <f>IFERROR(MID(VLOOKUP($B137,Seqs!$A:$B,2,0),AS137,1),"")</f>
        <v/>
      </c>
      <c r="AS137" s="9">
        <v>1304</v>
      </c>
      <c r="AT137" s="9" t="str">
        <f>IFERROR(MID(VLOOKUP($B137,Seqs!$A:$B,2,0),AU137,1),"")</f>
        <v/>
      </c>
      <c r="AU137" s="9">
        <v>1322</v>
      </c>
      <c r="AV137" s="9" t="str">
        <f>IFERROR(MID(VLOOKUP($B137,Seqs!$A:$B,2,0),AW137,1),"")</f>
        <v/>
      </c>
      <c r="AW137" s="9">
        <v>1329</v>
      </c>
      <c r="AX137" s="9" t="str">
        <f>IFERROR(MID(VLOOKUP($B137,Seqs!$A:$B,2,0),AY137,1),"")</f>
        <v/>
      </c>
      <c r="AY137" s="9">
        <v>1340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1010"/>
        <v>1</v>
      </c>
      <c r="BC137" s="109">
        <f t="shared" si="1011"/>
        <v>247</v>
      </c>
      <c r="BD137" s="123" t="s">
        <v>23</v>
      </c>
      <c r="BE137" s="9" t="s">
        <v>1285</v>
      </c>
      <c r="BF137" s="119">
        <v>3.2</v>
      </c>
      <c r="BG137" s="51" t="s">
        <v>1</v>
      </c>
      <c r="BH137" s="51" t="s">
        <v>1</v>
      </c>
      <c r="BJ137" s="111" t="s">
        <v>1281</v>
      </c>
      <c r="BK137" s="112" t="s">
        <v>1281</v>
      </c>
      <c r="BL137" s="112" t="s">
        <v>1281</v>
      </c>
      <c r="BM137" s="112" t="s">
        <v>1281</v>
      </c>
      <c r="BN137" s="112" t="s">
        <v>1281</v>
      </c>
      <c r="BO137" s="112" t="s">
        <v>1281</v>
      </c>
      <c r="BP137" s="112" t="s">
        <v>1281</v>
      </c>
      <c r="BQ137" s="112" t="s">
        <v>1281</v>
      </c>
      <c r="BR137" s="112" t="s">
        <v>1281</v>
      </c>
      <c r="BS137" s="112" t="s">
        <v>1281</v>
      </c>
      <c r="BT137" s="112" t="s">
        <v>1281</v>
      </c>
      <c r="BU137" s="112" t="s">
        <v>1281</v>
      </c>
      <c r="BV137" s="111">
        <f t="shared" si="1012"/>
        <v>1026</v>
      </c>
      <c r="BW137" s="113">
        <f t="shared" si="1013"/>
        <v>1062</v>
      </c>
      <c r="BX137" s="114">
        <f t="shared" si="1014"/>
        <v>1066</v>
      </c>
      <c r="BY137" s="113">
        <f t="shared" si="1015"/>
        <v>1098</v>
      </c>
      <c r="BZ137" s="114">
        <f t="shared" si="1016"/>
        <v>1102</v>
      </c>
      <c r="CA137" s="113">
        <f t="shared" si="1017"/>
        <v>1138</v>
      </c>
      <c r="CB137" s="114">
        <f t="shared" si="1018"/>
        <v>1146</v>
      </c>
      <c r="CC137" s="113">
        <f t="shared" si="1019"/>
        <v>1191</v>
      </c>
      <c r="CD137" s="114">
        <f t="shared" si="1020"/>
        <v>1196</v>
      </c>
      <c r="CE137" s="113">
        <f t="shared" si="1021"/>
        <v>1265</v>
      </c>
      <c r="CF137" s="114">
        <f t="shared" si="1022"/>
        <v>1304</v>
      </c>
      <c r="CG137" s="113">
        <f t="shared" si="1023"/>
        <v>1329</v>
      </c>
      <c r="CH137" s="111">
        <f t="shared" si="1024"/>
        <v>1061</v>
      </c>
      <c r="CI137" s="113">
        <f t="shared" si="1025"/>
        <v>1065</v>
      </c>
      <c r="CJ137" s="114">
        <f t="shared" si="1026"/>
        <v>1097</v>
      </c>
      <c r="CK137" s="114">
        <f t="shared" si="1027"/>
        <v>1101</v>
      </c>
      <c r="CL137" s="114">
        <f t="shared" si="1028"/>
        <v>1137</v>
      </c>
      <c r="CM137" s="114">
        <f t="shared" si="1029"/>
        <v>1145</v>
      </c>
      <c r="CN137" s="114">
        <f t="shared" si="1030"/>
        <v>1172</v>
      </c>
      <c r="CO137" s="114">
        <f t="shared" si="1031"/>
        <v>1193</v>
      </c>
      <c r="CP137" s="114">
        <f t="shared" si="1032"/>
        <v>1226</v>
      </c>
      <c r="CQ137" s="114">
        <f t="shared" si="1033"/>
        <v>1299</v>
      </c>
      <c r="CR137" s="114">
        <f t="shared" si="1034"/>
        <v>1322</v>
      </c>
      <c r="CS137" s="114">
        <f t="shared" si="1035"/>
        <v>1340</v>
      </c>
      <c r="CT137" s="109">
        <f t="shared" si="1036"/>
        <v>1</v>
      </c>
    </row>
    <row r="138" spans="1:1029" s="12" customFormat="1" x14ac:dyDescent="0.2">
      <c r="A138" s="9" t="str">
        <f t="shared" si="1009"/>
        <v>adrb2_human_6PRZ</v>
      </c>
      <c r="B138" s="9" t="s">
        <v>126</v>
      </c>
      <c r="C138" s="9" t="s">
        <v>1601</v>
      </c>
      <c r="D138" s="9" t="str">
        <f>IFERROR(MID(VLOOKUP($B138,Seqs!$A:$B,2,0),E138,1),"")</f>
        <v>V</v>
      </c>
      <c r="E138" s="9">
        <v>31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1010"/>
        <v>1</v>
      </c>
      <c r="BC138" s="109">
        <f t="shared" si="1011"/>
        <v>243</v>
      </c>
      <c r="BD138" s="123" t="s">
        <v>23</v>
      </c>
      <c r="BE138" s="9" t="s">
        <v>1368</v>
      </c>
      <c r="BF138" s="119">
        <v>2.8</v>
      </c>
      <c r="BG138" s="51" t="s">
        <v>1</v>
      </c>
      <c r="BH138" s="51" t="s">
        <v>1</v>
      </c>
      <c r="BJ138" s="111" t="s">
        <v>1281</v>
      </c>
      <c r="BK138" s="112" t="s">
        <v>1281</v>
      </c>
      <c r="BL138" s="112" t="s">
        <v>1281</v>
      </c>
      <c r="BM138" s="112" t="s">
        <v>1281</v>
      </c>
      <c r="BN138" s="112" t="s">
        <v>1281</v>
      </c>
      <c r="BO138" s="112" t="s">
        <v>1281</v>
      </c>
      <c r="BP138" s="112" t="s">
        <v>1281</v>
      </c>
      <c r="BQ138" s="112" t="s">
        <v>1281</v>
      </c>
      <c r="BR138" s="112" t="s">
        <v>1281</v>
      </c>
      <c r="BS138" s="112" t="s">
        <v>1281</v>
      </c>
      <c r="BT138" s="112" t="s">
        <v>1281</v>
      </c>
      <c r="BU138" s="112" t="s">
        <v>1281</v>
      </c>
      <c r="BV138" s="111">
        <f t="shared" si="1012"/>
        <v>31</v>
      </c>
      <c r="BW138" s="113">
        <f t="shared" si="1013"/>
        <v>62</v>
      </c>
      <c r="BX138" s="114">
        <f t="shared" si="1014"/>
        <v>66</v>
      </c>
      <c r="BY138" s="113">
        <f t="shared" si="1015"/>
        <v>98</v>
      </c>
      <c r="BZ138" s="114">
        <f t="shared" si="1016"/>
        <v>102</v>
      </c>
      <c r="CA138" s="113" t="str">
        <f t="shared" si="1017"/>
        <v>-</v>
      </c>
      <c r="CB138" s="114">
        <f t="shared" si="1018"/>
        <v>146</v>
      </c>
      <c r="CC138" s="113">
        <f t="shared" si="1019"/>
        <v>191</v>
      </c>
      <c r="CD138" s="114">
        <f t="shared" si="1020"/>
        <v>196</v>
      </c>
      <c r="CE138" s="113">
        <f t="shared" si="1021"/>
        <v>266</v>
      </c>
      <c r="CF138" s="114">
        <f t="shared" si="1022"/>
        <v>305</v>
      </c>
      <c r="CG138" s="113">
        <f t="shared" si="1023"/>
        <v>329</v>
      </c>
      <c r="CH138" s="111">
        <f t="shared" si="1024"/>
        <v>61</v>
      </c>
      <c r="CI138" s="113">
        <f t="shared" si="1025"/>
        <v>65</v>
      </c>
      <c r="CJ138" s="114">
        <f t="shared" si="1026"/>
        <v>96</v>
      </c>
      <c r="CK138" s="114">
        <f t="shared" si="1027"/>
        <v>101</v>
      </c>
      <c r="CL138" s="114">
        <f t="shared" si="1028"/>
        <v>137</v>
      </c>
      <c r="CM138" s="114" t="str">
        <f t="shared" si="1029"/>
        <v>-</v>
      </c>
      <c r="CN138" s="114">
        <f t="shared" si="1030"/>
        <v>172</v>
      </c>
      <c r="CO138" s="114">
        <f t="shared" si="1031"/>
        <v>193</v>
      </c>
      <c r="CP138" s="114">
        <f t="shared" si="1032"/>
        <v>230</v>
      </c>
      <c r="CQ138" s="114">
        <f t="shared" si="1033"/>
        <v>299</v>
      </c>
      <c r="CR138" s="114">
        <f t="shared" si="1034"/>
        <v>328</v>
      </c>
      <c r="CS138" s="114">
        <f t="shared" si="1035"/>
        <v>341</v>
      </c>
      <c r="CT138" s="109">
        <f t="shared" si="1036"/>
        <v>1</v>
      </c>
    </row>
    <row r="139" spans="1:1029" s="12" customFormat="1" x14ac:dyDescent="0.2">
      <c r="A139" s="9" t="str">
        <f t="shared" si="1009"/>
        <v>adrb2_human_6PS0</v>
      </c>
      <c r="B139" s="9" t="s">
        <v>126</v>
      </c>
      <c r="C139" s="9" t="s">
        <v>1602</v>
      </c>
      <c r="D139" s="9" t="str">
        <f>IFERROR(MID(VLOOKUP($B139,Seqs!$A:$B,2,0),E139,1),"")</f>
        <v>V</v>
      </c>
      <c r="E139" s="9">
        <v>31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Q</v>
      </c>
      <c r="AQ139" s="9">
        <v>299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1010"/>
        <v>1</v>
      </c>
      <c r="BC139" s="109">
        <f t="shared" si="1011"/>
        <v>243</v>
      </c>
      <c r="BD139" s="123" t="s">
        <v>23</v>
      </c>
      <c r="BE139" s="9" t="s">
        <v>1368</v>
      </c>
      <c r="BF139" s="119">
        <v>3.4</v>
      </c>
      <c r="BG139" s="51" t="s">
        <v>1</v>
      </c>
      <c r="BH139" s="51" t="s">
        <v>1</v>
      </c>
      <c r="BJ139" s="111" t="s">
        <v>1281</v>
      </c>
      <c r="BK139" s="112" t="s">
        <v>1281</v>
      </c>
      <c r="BL139" s="112" t="s">
        <v>1281</v>
      </c>
      <c r="BM139" s="112" t="s">
        <v>1281</v>
      </c>
      <c r="BN139" s="112" t="s">
        <v>1281</v>
      </c>
      <c r="BO139" s="112" t="s">
        <v>1281</v>
      </c>
      <c r="BP139" s="112" t="s">
        <v>1281</v>
      </c>
      <c r="BQ139" s="112" t="s">
        <v>1281</v>
      </c>
      <c r="BR139" s="112" t="s">
        <v>1281</v>
      </c>
      <c r="BS139" s="112" t="s">
        <v>1281</v>
      </c>
      <c r="BT139" s="112" t="s">
        <v>1281</v>
      </c>
      <c r="BU139" s="112" t="s">
        <v>1281</v>
      </c>
      <c r="BV139" s="111">
        <f t="shared" si="1012"/>
        <v>31</v>
      </c>
      <c r="BW139" s="113">
        <f t="shared" si="1013"/>
        <v>62</v>
      </c>
      <c r="BX139" s="114">
        <f t="shared" si="1014"/>
        <v>66</v>
      </c>
      <c r="BY139" s="113">
        <f t="shared" si="1015"/>
        <v>98</v>
      </c>
      <c r="BZ139" s="114">
        <f t="shared" si="1016"/>
        <v>102</v>
      </c>
      <c r="CA139" s="113" t="str">
        <f t="shared" si="1017"/>
        <v>-</v>
      </c>
      <c r="CB139" s="114">
        <f t="shared" si="1018"/>
        <v>146</v>
      </c>
      <c r="CC139" s="113">
        <f t="shared" si="1019"/>
        <v>191</v>
      </c>
      <c r="CD139" s="114">
        <f t="shared" si="1020"/>
        <v>196</v>
      </c>
      <c r="CE139" s="113">
        <f t="shared" si="1021"/>
        <v>266</v>
      </c>
      <c r="CF139" s="114">
        <f t="shared" si="1022"/>
        <v>305</v>
      </c>
      <c r="CG139" s="113">
        <f t="shared" si="1023"/>
        <v>329</v>
      </c>
      <c r="CH139" s="111">
        <f t="shared" si="1024"/>
        <v>61</v>
      </c>
      <c r="CI139" s="113">
        <f t="shared" si="1025"/>
        <v>65</v>
      </c>
      <c r="CJ139" s="114">
        <f t="shared" si="1026"/>
        <v>96</v>
      </c>
      <c r="CK139" s="114">
        <f t="shared" si="1027"/>
        <v>101</v>
      </c>
      <c r="CL139" s="114">
        <f t="shared" si="1028"/>
        <v>137</v>
      </c>
      <c r="CM139" s="114" t="str">
        <f t="shared" si="1029"/>
        <v>-</v>
      </c>
      <c r="CN139" s="114">
        <f t="shared" si="1030"/>
        <v>172</v>
      </c>
      <c r="CO139" s="114">
        <f t="shared" si="1031"/>
        <v>193</v>
      </c>
      <c r="CP139" s="114">
        <f t="shared" si="1032"/>
        <v>230</v>
      </c>
      <c r="CQ139" s="114">
        <f t="shared" si="1033"/>
        <v>299</v>
      </c>
      <c r="CR139" s="114">
        <f t="shared" si="1034"/>
        <v>328</v>
      </c>
      <c r="CS139" s="114">
        <f t="shared" si="1035"/>
        <v>341</v>
      </c>
      <c r="CT139" s="109">
        <f t="shared" si="1036"/>
        <v>1</v>
      </c>
    </row>
    <row r="140" spans="1:1029" s="12" customFormat="1" x14ac:dyDescent="0.2">
      <c r="A140" s="9" t="str">
        <f t="shared" si="1009"/>
        <v>adrb2_human_6PS1</v>
      </c>
      <c r="B140" s="9" t="s">
        <v>126</v>
      </c>
      <c r="C140" s="9" t="s">
        <v>1603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Q</v>
      </c>
      <c r="AQ140" s="9">
        <v>299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1010"/>
        <v>1</v>
      </c>
      <c r="BC140" s="109">
        <f t="shared" si="1011"/>
        <v>245</v>
      </c>
      <c r="BD140" s="123" t="s">
        <v>23</v>
      </c>
      <c r="BE140" s="9" t="s">
        <v>1368</v>
      </c>
      <c r="BF140" s="119">
        <v>3.2</v>
      </c>
      <c r="BG140" s="51" t="s">
        <v>1</v>
      </c>
      <c r="BH140" s="51" t="s">
        <v>1</v>
      </c>
      <c r="BJ140" s="111" t="s">
        <v>1281</v>
      </c>
      <c r="BK140" s="112" t="s">
        <v>1281</v>
      </c>
      <c r="BL140" s="112" t="s">
        <v>1281</v>
      </c>
      <c r="BM140" s="112" t="s">
        <v>1281</v>
      </c>
      <c r="BN140" s="112" t="s">
        <v>1281</v>
      </c>
      <c r="BO140" s="112" t="s">
        <v>1281</v>
      </c>
      <c r="BP140" s="112" t="s">
        <v>1281</v>
      </c>
      <c r="BQ140" s="112" t="s">
        <v>1281</v>
      </c>
      <c r="BR140" s="112" t="s">
        <v>1281</v>
      </c>
      <c r="BS140" s="112" t="s">
        <v>1281</v>
      </c>
      <c r="BT140" s="112" t="s">
        <v>1281</v>
      </c>
      <c r="BU140" s="112" t="s">
        <v>1281</v>
      </c>
      <c r="BV140" s="111">
        <f t="shared" si="1012"/>
        <v>29</v>
      </c>
      <c r="BW140" s="113">
        <f t="shared" si="1013"/>
        <v>62</v>
      </c>
      <c r="BX140" s="114">
        <f t="shared" si="1014"/>
        <v>66</v>
      </c>
      <c r="BY140" s="113">
        <f t="shared" si="1015"/>
        <v>98</v>
      </c>
      <c r="BZ140" s="114">
        <f t="shared" si="1016"/>
        <v>102</v>
      </c>
      <c r="CA140" s="113" t="str">
        <f t="shared" si="1017"/>
        <v>-</v>
      </c>
      <c r="CB140" s="114">
        <f t="shared" si="1018"/>
        <v>146</v>
      </c>
      <c r="CC140" s="113">
        <f t="shared" si="1019"/>
        <v>191</v>
      </c>
      <c r="CD140" s="114">
        <f t="shared" si="1020"/>
        <v>196</v>
      </c>
      <c r="CE140" s="113">
        <f t="shared" si="1021"/>
        <v>266</v>
      </c>
      <c r="CF140" s="114">
        <f t="shared" si="1022"/>
        <v>305</v>
      </c>
      <c r="CG140" s="113">
        <f t="shared" si="1023"/>
        <v>329</v>
      </c>
      <c r="CH140" s="111">
        <f t="shared" si="1024"/>
        <v>61</v>
      </c>
      <c r="CI140" s="113">
        <f t="shared" si="1025"/>
        <v>65</v>
      </c>
      <c r="CJ140" s="114">
        <f t="shared" si="1026"/>
        <v>96</v>
      </c>
      <c r="CK140" s="114">
        <f t="shared" si="1027"/>
        <v>101</v>
      </c>
      <c r="CL140" s="114">
        <f t="shared" si="1028"/>
        <v>137</v>
      </c>
      <c r="CM140" s="114" t="str">
        <f t="shared" si="1029"/>
        <v>-</v>
      </c>
      <c r="CN140" s="114">
        <f t="shared" si="1030"/>
        <v>172</v>
      </c>
      <c r="CO140" s="114">
        <f t="shared" si="1031"/>
        <v>193</v>
      </c>
      <c r="CP140" s="114">
        <f t="shared" si="1032"/>
        <v>230</v>
      </c>
      <c r="CQ140" s="114">
        <f t="shared" si="1033"/>
        <v>299</v>
      </c>
      <c r="CR140" s="114">
        <f t="shared" si="1034"/>
        <v>328</v>
      </c>
      <c r="CS140" s="114">
        <f t="shared" si="1035"/>
        <v>341</v>
      </c>
      <c r="CT140" s="109">
        <f t="shared" si="1036"/>
        <v>1</v>
      </c>
    </row>
    <row r="141" spans="1:1029" s="12" customFormat="1" x14ac:dyDescent="0.2">
      <c r="A141" s="9" t="str">
        <f t="shared" si="1009"/>
        <v>adrb2_human_6PS2</v>
      </c>
      <c r="B141" s="9" t="s">
        <v>126</v>
      </c>
      <c r="C141" s="9" t="s">
        <v>1604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1010"/>
        <v>1</v>
      </c>
      <c r="BC141" s="109">
        <f t="shared" si="1011"/>
        <v>246</v>
      </c>
      <c r="BD141" s="123" t="s">
        <v>23</v>
      </c>
      <c r="BE141" s="9" t="s">
        <v>1368</v>
      </c>
      <c r="BF141" s="119">
        <v>2.4</v>
      </c>
      <c r="BG141" s="51" t="s">
        <v>1</v>
      </c>
      <c r="BH141" s="51" t="s">
        <v>1</v>
      </c>
      <c r="BJ141" s="111" t="s">
        <v>1281</v>
      </c>
      <c r="BK141" s="112" t="s">
        <v>1281</v>
      </c>
      <c r="BL141" s="112" t="s">
        <v>1281</v>
      </c>
      <c r="BM141" s="112" t="s">
        <v>1281</v>
      </c>
      <c r="BN141" s="112" t="s">
        <v>1281</v>
      </c>
      <c r="BO141" s="112" t="s">
        <v>1281</v>
      </c>
      <c r="BP141" s="112" t="s">
        <v>1281</v>
      </c>
      <c r="BQ141" s="112" t="s">
        <v>1281</v>
      </c>
      <c r="BR141" s="112" t="s">
        <v>1281</v>
      </c>
      <c r="BS141" s="112" t="s">
        <v>1281</v>
      </c>
      <c r="BT141" s="112" t="s">
        <v>1281</v>
      </c>
      <c r="BU141" s="112" t="s">
        <v>1281</v>
      </c>
      <c r="BV141" s="111">
        <f t="shared" si="1012"/>
        <v>29</v>
      </c>
      <c r="BW141" s="113">
        <f t="shared" si="1013"/>
        <v>62</v>
      </c>
      <c r="BX141" s="114">
        <f t="shared" si="1014"/>
        <v>66</v>
      </c>
      <c r="BY141" s="113">
        <f t="shared" si="1015"/>
        <v>98</v>
      </c>
      <c r="BZ141" s="114">
        <f t="shared" si="1016"/>
        <v>102</v>
      </c>
      <c r="CA141" s="113" t="str">
        <f t="shared" si="1017"/>
        <v>-</v>
      </c>
      <c r="CB141" s="114">
        <f t="shared" si="1018"/>
        <v>146</v>
      </c>
      <c r="CC141" s="113">
        <f t="shared" si="1019"/>
        <v>191</v>
      </c>
      <c r="CD141" s="114">
        <f t="shared" si="1020"/>
        <v>196</v>
      </c>
      <c r="CE141" s="113">
        <f t="shared" si="1021"/>
        <v>266</v>
      </c>
      <c r="CF141" s="114">
        <f t="shared" si="1022"/>
        <v>305</v>
      </c>
      <c r="CG141" s="113">
        <f t="shared" si="1023"/>
        <v>329</v>
      </c>
      <c r="CH141" s="111">
        <f t="shared" si="1024"/>
        <v>61</v>
      </c>
      <c r="CI141" s="113">
        <f t="shared" si="1025"/>
        <v>65</v>
      </c>
      <c r="CJ141" s="114">
        <f t="shared" si="1026"/>
        <v>96</v>
      </c>
      <c r="CK141" s="114">
        <f t="shared" si="1027"/>
        <v>101</v>
      </c>
      <c r="CL141" s="114">
        <f t="shared" si="1028"/>
        <v>137</v>
      </c>
      <c r="CM141" s="114" t="str">
        <f t="shared" si="1029"/>
        <v>-</v>
      </c>
      <c r="CN141" s="114">
        <f t="shared" si="1030"/>
        <v>172</v>
      </c>
      <c r="CO141" s="114">
        <f t="shared" si="1031"/>
        <v>193</v>
      </c>
      <c r="CP141" s="114">
        <f t="shared" si="1032"/>
        <v>230</v>
      </c>
      <c r="CQ141" s="114">
        <f t="shared" si="1033"/>
        <v>300</v>
      </c>
      <c r="CR141" s="114">
        <f t="shared" si="1034"/>
        <v>328</v>
      </c>
      <c r="CS141" s="114">
        <f t="shared" si="1035"/>
        <v>341</v>
      </c>
      <c r="CT141" s="109">
        <f t="shared" si="1036"/>
        <v>1</v>
      </c>
    </row>
    <row r="142" spans="1:1029" s="12" customFormat="1" x14ac:dyDescent="0.2">
      <c r="A142" s="9" t="str">
        <f t="shared" si="1009"/>
        <v>adrb2_human_6PS3</v>
      </c>
      <c r="B142" s="9" t="s">
        <v>126</v>
      </c>
      <c r="C142" s="9" t="s">
        <v>1605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1010"/>
        <v>1</v>
      </c>
      <c r="BC142" s="109">
        <f t="shared" si="1011"/>
        <v>246</v>
      </c>
      <c r="BD142" s="123" t="s">
        <v>23</v>
      </c>
      <c r="BE142" s="9" t="s">
        <v>1368</v>
      </c>
      <c r="BF142" s="119">
        <v>2.5</v>
      </c>
      <c r="BG142" s="51" t="s">
        <v>1</v>
      </c>
      <c r="BH142" s="51" t="s">
        <v>1</v>
      </c>
      <c r="BJ142" s="111" t="s">
        <v>1281</v>
      </c>
      <c r="BK142" s="112" t="s">
        <v>1281</v>
      </c>
      <c r="BL142" s="112" t="s">
        <v>1281</v>
      </c>
      <c r="BM142" s="112" t="s">
        <v>1281</v>
      </c>
      <c r="BN142" s="112" t="s">
        <v>1281</v>
      </c>
      <c r="BO142" s="112" t="s">
        <v>1281</v>
      </c>
      <c r="BP142" s="112" t="s">
        <v>1281</v>
      </c>
      <c r="BQ142" s="112" t="s">
        <v>1281</v>
      </c>
      <c r="BR142" s="112" t="s">
        <v>1281</v>
      </c>
      <c r="BS142" s="112" t="s">
        <v>1281</v>
      </c>
      <c r="BT142" s="112" t="s">
        <v>1281</v>
      </c>
      <c r="BU142" s="112" t="s">
        <v>1281</v>
      </c>
      <c r="BV142" s="111">
        <f t="shared" si="1012"/>
        <v>29</v>
      </c>
      <c r="BW142" s="113">
        <f t="shared" si="1013"/>
        <v>62</v>
      </c>
      <c r="BX142" s="114">
        <f t="shared" si="1014"/>
        <v>66</v>
      </c>
      <c r="BY142" s="113">
        <f t="shared" si="1015"/>
        <v>98</v>
      </c>
      <c r="BZ142" s="114">
        <f t="shared" si="1016"/>
        <v>102</v>
      </c>
      <c r="CA142" s="113" t="str">
        <f t="shared" si="1017"/>
        <v>-</v>
      </c>
      <c r="CB142" s="114">
        <f t="shared" si="1018"/>
        <v>146</v>
      </c>
      <c r="CC142" s="113">
        <f t="shared" si="1019"/>
        <v>191</v>
      </c>
      <c r="CD142" s="114">
        <f t="shared" si="1020"/>
        <v>196</v>
      </c>
      <c r="CE142" s="113">
        <f t="shared" si="1021"/>
        <v>266</v>
      </c>
      <c r="CF142" s="114">
        <f t="shared" si="1022"/>
        <v>305</v>
      </c>
      <c r="CG142" s="113">
        <f t="shared" si="1023"/>
        <v>329</v>
      </c>
      <c r="CH142" s="111">
        <f t="shared" si="1024"/>
        <v>61</v>
      </c>
      <c r="CI142" s="113">
        <f t="shared" si="1025"/>
        <v>65</v>
      </c>
      <c r="CJ142" s="114">
        <f t="shared" si="1026"/>
        <v>96</v>
      </c>
      <c r="CK142" s="114">
        <f t="shared" si="1027"/>
        <v>101</v>
      </c>
      <c r="CL142" s="114">
        <f t="shared" si="1028"/>
        <v>137</v>
      </c>
      <c r="CM142" s="114" t="str">
        <f t="shared" si="1029"/>
        <v>-</v>
      </c>
      <c r="CN142" s="114">
        <f t="shared" si="1030"/>
        <v>172</v>
      </c>
      <c r="CO142" s="114">
        <f t="shared" si="1031"/>
        <v>193</v>
      </c>
      <c r="CP142" s="114">
        <f t="shared" si="1032"/>
        <v>230</v>
      </c>
      <c r="CQ142" s="114">
        <f t="shared" si="1033"/>
        <v>300</v>
      </c>
      <c r="CR142" s="114">
        <f t="shared" si="1034"/>
        <v>328</v>
      </c>
      <c r="CS142" s="114">
        <f t="shared" si="1035"/>
        <v>341</v>
      </c>
      <c r="CT142" s="109">
        <f t="shared" si="1036"/>
        <v>1</v>
      </c>
    </row>
    <row r="143" spans="1:1029" s="12" customFormat="1" x14ac:dyDescent="0.2">
      <c r="A143" s="9" t="str">
        <f t="shared" si="1009"/>
        <v>adrb2_human_6PS4</v>
      </c>
      <c r="B143" s="9" t="s">
        <v>126</v>
      </c>
      <c r="C143" s="9" t="s">
        <v>1606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1010"/>
        <v>1</v>
      </c>
      <c r="BC143" s="109">
        <f t="shared" si="1011"/>
        <v>246</v>
      </c>
      <c r="BD143" s="123" t="s">
        <v>23</v>
      </c>
      <c r="BE143" s="9" t="s">
        <v>1368</v>
      </c>
      <c r="BF143" s="119">
        <v>2.6</v>
      </c>
      <c r="BG143" s="51" t="s">
        <v>1</v>
      </c>
      <c r="BH143" s="51" t="s">
        <v>1</v>
      </c>
      <c r="BJ143" s="111" t="s">
        <v>1281</v>
      </c>
      <c r="BK143" s="112" t="s">
        <v>1281</v>
      </c>
      <c r="BL143" s="112" t="s">
        <v>1281</v>
      </c>
      <c r="BM143" s="112" t="s">
        <v>1281</v>
      </c>
      <c r="BN143" s="112" t="s">
        <v>1281</v>
      </c>
      <c r="BO143" s="112" t="s">
        <v>1281</v>
      </c>
      <c r="BP143" s="112" t="s">
        <v>1281</v>
      </c>
      <c r="BQ143" s="112" t="s">
        <v>1281</v>
      </c>
      <c r="BR143" s="112" t="s">
        <v>1281</v>
      </c>
      <c r="BS143" s="112" t="s">
        <v>1281</v>
      </c>
      <c r="BT143" s="112" t="s">
        <v>1281</v>
      </c>
      <c r="BU143" s="112" t="s">
        <v>1281</v>
      </c>
      <c r="BV143" s="111">
        <f t="shared" si="1012"/>
        <v>29</v>
      </c>
      <c r="BW143" s="113">
        <f t="shared" si="1013"/>
        <v>62</v>
      </c>
      <c r="BX143" s="114">
        <f t="shared" si="1014"/>
        <v>66</v>
      </c>
      <c r="BY143" s="113">
        <f t="shared" si="1015"/>
        <v>98</v>
      </c>
      <c r="BZ143" s="114">
        <f t="shared" si="1016"/>
        <v>102</v>
      </c>
      <c r="CA143" s="113" t="str">
        <f t="shared" si="1017"/>
        <v>-</v>
      </c>
      <c r="CB143" s="114">
        <f t="shared" si="1018"/>
        <v>146</v>
      </c>
      <c r="CC143" s="113">
        <f t="shared" si="1019"/>
        <v>191</v>
      </c>
      <c r="CD143" s="114">
        <f t="shared" si="1020"/>
        <v>196</v>
      </c>
      <c r="CE143" s="113">
        <f t="shared" si="1021"/>
        <v>266</v>
      </c>
      <c r="CF143" s="114">
        <f t="shared" si="1022"/>
        <v>305</v>
      </c>
      <c r="CG143" s="113">
        <f t="shared" si="1023"/>
        <v>329</v>
      </c>
      <c r="CH143" s="111">
        <f t="shared" si="1024"/>
        <v>61</v>
      </c>
      <c r="CI143" s="113">
        <f t="shared" si="1025"/>
        <v>65</v>
      </c>
      <c r="CJ143" s="114">
        <f t="shared" si="1026"/>
        <v>96</v>
      </c>
      <c r="CK143" s="114">
        <f t="shared" si="1027"/>
        <v>101</v>
      </c>
      <c r="CL143" s="114">
        <f t="shared" si="1028"/>
        <v>137</v>
      </c>
      <c r="CM143" s="114" t="str">
        <f t="shared" si="1029"/>
        <v>-</v>
      </c>
      <c r="CN143" s="114">
        <f t="shared" si="1030"/>
        <v>172</v>
      </c>
      <c r="CO143" s="114">
        <f t="shared" si="1031"/>
        <v>193</v>
      </c>
      <c r="CP143" s="114">
        <f t="shared" si="1032"/>
        <v>230</v>
      </c>
      <c r="CQ143" s="114">
        <f t="shared" si="1033"/>
        <v>300</v>
      </c>
      <c r="CR143" s="114">
        <f t="shared" si="1034"/>
        <v>328</v>
      </c>
      <c r="CS143" s="114">
        <f t="shared" si="1035"/>
        <v>341</v>
      </c>
      <c r="CT143" s="109">
        <f t="shared" si="1036"/>
        <v>1</v>
      </c>
    </row>
    <row r="144" spans="1:1029" s="12" customFormat="1" x14ac:dyDescent="0.2">
      <c r="A144" s="9" t="str">
        <f t="shared" si="1009"/>
        <v>adrb2_human_6PS5</v>
      </c>
      <c r="B144" s="9" t="s">
        <v>126</v>
      </c>
      <c r="C144" s="9" t="s">
        <v>1607</v>
      </c>
      <c r="D144" s="9" t="str">
        <f>IFERROR(MID(VLOOKUP($B144,Seqs!$A:$B,2,0),E144,1),"")</f>
        <v>D</v>
      </c>
      <c r="E144" s="9">
        <v>29</v>
      </c>
      <c r="F144" s="9" t="str">
        <f>IFERROR(MID(VLOOKUP($B144,Seqs!$A:$B,2,0),G144,1),"")</f>
        <v>F</v>
      </c>
      <c r="G144" s="9">
        <v>61</v>
      </c>
      <c r="H144" s="9" t="str">
        <f>IFERROR(MID(VLOOKUP($B144,Seqs!$A:$B,2,0),I144,1),"")</f>
        <v>E</v>
      </c>
      <c r="I144" s="109">
        <v>62</v>
      </c>
      <c r="J144" s="9" t="str">
        <f>IFERROR(MID(VLOOKUP($B144,Seqs!$A:$B,2,0),K144,1),"")</f>
        <v>Q</v>
      </c>
      <c r="K144" s="109">
        <v>65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M</v>
      </c>
      <c r="O144" s="9">
        <v>96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/>
      </c>
      <c r="Y144" s="9" t="s">
        <v>23</v>
      </c>
      <c r="Z144" s="9" t="str">
        <f>IFERROR(MID(VLOOKUP($B144,Seqs!$A:$B,2,0),AA144,1),"")</f>
        <v/>
      </c>
      <c r="AA144" s="9" t="s">
        <v>23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>C</v>
      </c>
      <c r="AG144" s="9">
        <v>191</v>
      </c>
      <c r="AH144" s="9" t="str">
        <f>IFERROR(MID(VLOOKUP($B144,Seqs!$A:$B,2,0),AI144,1),"")</f>
        <v>F</v>
      </c>
      <c r="AI144" s="9">
        <v>193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L</v>
      </c>
      <c r="AM144" s="9">
        <v>230</v>
      </c>
      <c r="AN144" s="9" t="str">
        <f>IFERROR(MID(VLOOKUP($B144,Seqs!$A:$B,2,0),AO144,1),"")</f>
        <v>L</v>
      </c>
      <c r="AO144" s="9">
        <v>266</v>
      </c>
      <c r="AP144" s="9" t="str">
        <f>IFERROR(MID(VLOOKUP($B144,Seqs!$A:$B,2,0),AQ144,1),"")</f>
        <v>D</v>
      </c>
      <c r="AQ144" s="9">
        <v>300</v>
      </c>
      <c r="AR144" s="9" t="str">
        <f>IFERROR(MID(VLOOKUP($B144,Seqs!$A:$B,2,0),AS144,1),"")</f>
        <v>K</v>
      </c>
      <c r="AS144" s="9">
        <v>305</v>
      </c>
      <c r="AT144" s="9" t="str">
        <f>IFERROR(MID(VLOOKUP($B144,Seqs!$A:$B,2,0),AU144,1),"")</f>
        <v>R</v>
      </c>
      <c r="AU144" s="9">
        <v>328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C</v>
      </c>
      <c r="AY144" s="9">
        <v>341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1010"/>
        <v>1</v>
      </c>
      <c r="BC144" s="109">
        <f t="shared" si="1011"/>
        <v>246</v>
      </c>
      <c r="BD144" s="123" t="s">
        <v>23</v>
      </c>
      <c r="BE144" s="9" t="s">
        <v>1368</v>
      </c>
      <c r="BF144" s="119">
        <v>2.9</v>
      </c>
      <c r="BG144" s="51" t="s">
        <v>1</v>
      </c>
      <c r="BH144" s="51" t="s">
        <v>1</v>
      </c>
      <c r="BJ144" s="111" t="s">
        <v>1281</v>
      </c>
      <c r="BK144" s="112" t="s">
        <v>1281</v>
      </c>
      <c r="BL144" s="112" t="s">
        <v>1281</v>
      </c>
      <c r="BM144" s="112" t="s">
        <v>1281</v>
      </c>
      <c r="BN144" s="112" t="s">
        <v>1281</v>
      </c>
      <c r="BO144" s="112" t="s">
        <v>1281</v>
      </c>
      <c r="BP144" s="112" t="s">
        <v>1281</v>
      </c>
      <c r="BQ144" s="112" t="s">
        <v>1281</v>
      </c>
      <c r="BR144" s="112" t="s">
        <v>1281</v>
      </c>
      <c r="BS144" s="112" t="s">
        <v>1281</v>
      </c>
      <c r="BT144" s="112" t="s">
        <v>1281</v>
      </c>
      <c r="BU144" s="112" t="s">
        <v>1281</v>
      </c>
      <c r="BV144" s="111">
        <f t="shared" si="1012"/>
        <v>29</v>
      </c>
      <c r="BW144" s="113">
        <f t="shared" si="1013"/>
        <v>62</v>
      </c>
      <c r="BX144" s="114">
        <f t="shared" si="1014"/>
        <v>66</v>
      </c>
      <c r="BY144" s="113">
        <f t="shared" si="1015"/>
        <v>98</v>
      </c>
      <c r="BZ144" s="114">
        <f t="shared" si="1016"/>
        <v>102</v>
      </c>
      <c r="CA144" s="113" t="str">
        <f t="shared" si="1017"/>
        <v>-</v>
      </c>
      <c r="CB144" s="114">
        <f t="shared" si="1018"/>
        <v>146</v>
      </c>
      <c r="CC144" s="113">
        <f t="shared" si="1019"/>
        <v>191</v>
      </c>
      <c r="CD144" s="114">
        <f t="shared" si="1020"/>
        <v>196</v>
      </c>
      <c r="CE144" s="113">
        <f t="shared" si="1021"/>
        <v>266</v>
      </c>
      <c r="CF144" s="114">
        <f t="shared" si="1022"/>
        <v>305</v>
      </c>
      <c r="CG144" s="113">
        <f t="shared" si="1023"/>
        <v>329</v>
      </c>
      <c r="CH144" s="111">
        <f t="shared" si="1024"/>
        <v>61</v>
      </c>
      <c r="CI144" s="113">
        <f t="shared" si="1025"/>
        <v>65</v>
      </c>
      <c r="CJ144" s="114">
        <f t="shared" si="1026"/>
        <v>96</v>
      </c>
      <c r="CK144" s="114">
        <f t="shared" si="1027"/>
        <v>101</v>
      </c>
      <c r="CL144" s="114">
        <f t="shared" si="1028"/>
        <v>137</v>
      </c>
      <c r="CM144" s="114" t="str">
        <f t="shared" si="1029"/>
        <v>-</v>
      </c>
      <c r="CN144" s="114">
        <f t="shared" si="1030"/>
        <v>172</v>
      </c>
      <c r="CO144" s="114">
        <f t="shared" si="1031"/>
        <v>193</v>
      </c>
      <c r="CP144" s="114">
        <f t="shared" si="1032"/>
        <v>230</v>
      </c>
      <c r="CQ144" s="114">
        <f t="shared" si="1033"/>
        <v>300</v>
      </c>
      <c r="CR144" s="114">
        <f t="shared" si="1034"/>
        <v>328</v>
      </c>
      <c r="CS144" s="114">
        <f t="shared" si="1035"/>
        <v>341</v>
      </c>
      <c r="CT144" s="109">
        <f t="shared" si="1036"/>
        <v>1</v>
      </c>
    </row>
    <row r="145" spans="1:1029" s="12" customFormat="1" x14ac:dyDescent="0.2">
      <c r="A145" s="9" t="str">
        <f t="shared" si="1009"/>
        <v>adrb2_human_6PS6</v>
      </c>
      <c r="B145" s="9" t="s">
        <v>126</v>
      </c>
      <c r="C145" s="9" t="s">
        <v>1608</v>
      </c>
      <c r="D145" s="9" t="str">
        <f>IFERROR(MID(VLOOKUP($B145,Seqs!$A:$B,2,0),E145,1),"")</f>
        <v>D</v>
      </c>
      <c r="E145" s="9">
        <v>29</v>
      </c>
      <c r="F145" s="9" t="str">
        <f>IFERROR(MID(VLOOKUP($B145,Seqs!$A:$B,2,0),G145,1),"")</f>
        <v>F</v>
      </c>
      <c r="G145" s="9">
        <v>61</v>
      </c>
      <c r="H145" s="9" t="str">
        <f>IFERROR(MID(VLOOKUP($B145,Seqs!$A:$B,2,0),I145,1),"")</f>
        <v>E</v>
      </c>
      <c r="I145" s="109">
        <v>62</v>
      </c>
      <c r="J145" s="9" t="str">
        <f>IFERROR(MID(VLOOKUP($B145,Seqs!$A:$B,2,0),K145,1),"")</f>
        <v>Q</v>
      </c>
      <c r="K145" s="109">
        <v>65</v>
      </c>
      <c r="L145" s="9" t="str">
        <f>IFERROR(MID(VLOOKUP($B145,Seqs!$A:$B,2,0),M145,1),"")</f>
        <v>T</v>
      </c>
      <c r="M145" s="9">
        <v>66</v>
      </c>
      <c r="N145" s="9" t="str">
        <f>IFERROR(MID(VLOOKUP($B145,Seqs!$A:$B,2,0),O145,1),"")</f>
        <v>M</v>
      </c>
      <c r="O145" s="9">
        <v>96</v>
      </c>
      <c r="P145" s="9" t="str">
        <f>IFERROR(MID(VLOOKUP($B145,Seqs!$A:$B,2,0),Q145,1),"")</f>
        <v>M</v>
      </c>
      <c r="Q145" s="9">
        <v>98</v>
      </c>
      <c r="R145" s="9" t="str">
        <f>IFERROR(MID(VLOOKUP($B145,Seqs!$A:$B,2,0),S145,1),"")</f>
        <v>F</v>
      </c>
      <c r="S145" s="9">
        <v>101</v>
      </c>
      <c r="T145" s="9" t="str">
        <f>IFERROR(MID(VLOOKUP($B145,Seqs!$A:$B,2,0),U145,1),"")</f>
        <v>G</v>
      </c>
      <c r="U145" s="9">
        <v>102</v>
      </c>
      <c r="V145" s="9" t="str">
        <f>IFERROR(MID(VLOOKUP($B145,Seqs!$A:$B,2,0),W145,1),"")</f>
        <v>S</v>
      </c>
      <c r="W145" s="9">
        <v>137</v>
      </c>
      <c r="X145" s="9" t="str">
        <f>IFERROR(MID(VLOOKUP($B145,Seqs!$A:$B,2,0),Y145,1),"")</f>
        <v/>
      </c>
      <c r="Y145" s="9" t="s">
        <v>23</v>
      </c>
      <c r="Z145" s="9" t="str">
        <f>IFERROR(MID(VLOOKUP($B145,Seqs!$A:$B,2,0),AA145,1),"")</f>
        <v/>
      </c>
      <c r="AA145" s="9" t="s">
        <v>23</v>
      </c>
      <c r="AB145" s="9" t="str">
        <f>IFERROR(MID(VLOOKUP($B145,Seqs!$A:$B,2,0),AC145,1),"")</f>
        <v>T</v>
      </c>
      <c r="AC145" s="9">
        <v>146</v>
      </c>
      <c r="AD145" s="9" t="str">
        <f>IFERROR(MID(VLOOKUP($B145,Seqs!$A:$B,2,0),AE145,1),"")</f>
        <v>H</v>
      </c>
      <c r="AE145" s="9">
        <v>172</v>
      </c>
      <c r="AF145" s="9" t="str">
        <f>IFERROR(MID(VLOOKUP($B145,Seqs!$A:$B,2,0),AG145,1),"")</f>
        <v>C</v>
      </c>
      <c r="AG145" s="9">
        <v>191</v>
      </c>
      <c r="AH145" s="9" t="str">
        <f>IFERROR(MID(VLOOKUP($B145,Seqs!$A:$B,2,0),AI145,1),"")</f>
        <v>F</v>
      </c>
      <c r="AI145" s="9">
        <v>193</v>
      </c>
      <c r="AJ145" s="9" t="str">
        <f>IFERROR(MID(VLOOKUP($B145,Seqs!$A:$B,2,0),AK145,1),"")</f>
        <v>N</v>
      </c>
      <c r="AK145" s="9">
        <v>196</v>
      </c>
      <c r="AL145" s="9" t="str">
        <f>IFERROR(MID(VLOOKUP($B145,Seqs!$A:$B,2,0),AM145,1),"")</f>
        <v>L</v>
      </c>
      <c r="AM145" s="9">
        <v>230</v>
      </c>
      <c r="AN145" s="9" t="str">
        <f>IFERROR(MID(VLOOKUP($B145,Seqs!$A:$B,2,0),AO145,1),"")</f>
        <v>L</v>
      </c>
      <c r="AO145" s="9">
        <v>266</v>
      </c>
      <c r="AP145" s="9" t="str">
        <f>IFERROR(MID(VLOOKUP($B145,Seqs!$A:$B,2,0),AQ145,1),"")</f>
        <v>D</v>
      </c>
      <c r="AQ145" s="9">
        <v>300</v>
      </c>
      <c r="AR145" s="9" t="str">
        <f>IFERROR(MID(VLOOKUP($B145,Seqs!$A:$B,2,0),AS145,1),"")</f>
        <v>K</v>
      </c>
      <c r="AS145" s="9">
        <v>305</v>
      </c>
      <c r="AT145" s="9" t="str">
        <f>IFERROR(MID(VLOOKUP($B145,Seqs!$A:$B,2,0),AU145,1),"")</f>
        <v>R</v>
      </c>
      <c r="AU145" s="9">
        <v>328</v>
      </c>
      <c r="AV145" s="9" t="str">
        <f>IFERROR(MID(VLOOKUP($B145,Seqs!$A:$B,2,0),AW145,1),"")</f>
        <v>S</v>
      </c>
      <c r="AW145" s="9">
        <v>329</v>
      </c>
      <c r="AX145" s="9" t="str">
        <f>IFERROR(MID(VLOOKUP($B145,Seqs!$A:$B,2,0),AY145,1),"")</f>
        <v>C</v>
      </c>
      <c r="AY145" s="9">
        <v>341</v>
      </c>
      <c r="AZ145" s="110" t="str">
        <f>VLOOKUP(B145,Classification!A:D,2,0)</f>
        <v>A</v>
      </c>
      <c r="BA145" s="98" t="str">
        <f>VLOOKUP(B145,Classification!A:D,4,0)</f>
        <v>Adrenoceptors</v>
      </c>
      <c r="BB145" s="36" t="b">
        <f t="shared" si="1010"/>
        <v>1</v>
      </c>
      <c r="BC145" s="109">
        <f t="shared" si="1011"/>
        <v>246</v>
      </c>
      <c r="BD145" s="123" t="s">
        <v>23</v>
      </c>
      <c r="BE145" s="9" t="s">
        <v>1368</v>
      </c>
      <c r="BF145" s="119">
        <v>2.7</v>
      </c>
      <c r="BG145" s="51" t="s">
        <v>1</v>
      </c>
      <c r="BH145" s="51" t="s">
        <v>1</v>
      </c>
      <c r="BJ145" s="111" t="s">
        <v>1281</v>
      </c>
      <c r="BK145" s="112" t="s">
        <v>1281</v>
      </c>
      <c r="BL145" s="112" t="s">
        <v>1281</v>
      </c>
      <c r="BM145" s="112" t="s">
        <v>1281</v>
      </c>
      <c r="BN145" s="112" t="s">
        <v>1281</v>
      </c>
      <c r="BO145" s="112" t="s">
        <v>1281</v>
      </c>
      <c r="BP145" s="112" t="s">
        <v>1281</v>
      </c>
      <c r="BQ145" s="112" t="s">
        <v>1281</v>
      </c>
      <c r="BR145" s="112" t="s">
        <v>1281</v>
      </c>
      <c r="BS145" s="112" t="s">
        <v>1281</v>
      </c>
      <c r="BT145" s="112" t="s">
        <v>1281</v>
      </c>
      <c r="BU145" s="112" t="s">
        <v>1281</v>
      </c>
      <c r="BV145" s="111">
        <f t="shared" si="1012"/>
        <v>29</v>
      </c>
      <c r="BW145" s="113">
        <f t="shared" si="1013"/>
        <v>62</v>
      </c>
      <c r="BX145" s="114">
        <f t="shared" si="1014"/>
        <v>66</v>
      </c>
      <c r="BY145" s="113">
        <f t="shared" si="1015"/>
        <v>98</v>
      </c>
      <c r="BZ145" s="114">
        <f t="shared" si="1016"/>
        <v>102</v>
      </c>
      <c r="CA145" s="113" t="str">
        <f t="shared" si="1017"/>
        <v>-</v>
      </c>
      <c r="CB145" s="114">
        <f t="shared" si="1018"/>
        <v>146</v>
      </c>
      <c r="CC145" s="113">
        <f t="shared" si="1019"/>
        <v>191</v>
      </c>
      <c r="CD145" s="114">
        <f t="shared" si="1020"/>
        <v>196</v>
      </c>
      <c r="CE145" s="113">
        <f t="shared" si="1021"/>
        <v>266</v>
      </c>
      <c r="CF145" s="114">
        <f t="shared" si="1022"/>
        <v>305</v>
      </c>
      <c r="CG145" s="113">
        <f t="shared" si="1023"/>
        <v>329</v>
      </c>
      <c r="CH145" s="111">
        <f t="shared" si="1024"/>
        <v>61</v>
      </c>
      <c r="CI145" s="113">
        <f t="shared" si="1025"/>
        <v>65</v>
      </c>
      <c r="CJ145" s="114">
        <f t="shared" si="1026"/>
        <v>96</v>
      </c>
      <c r="CK145" s="114">
        <f t="shared" si="1027"/>
        <v>101</v>
      </c>
      <c r="CL145" s="114">
        <f t="shared" si="1028"/>
        <v>137</v>
      </c>
      <c r="CM145" s="114" t="str">
        <f t="shared" si="1029"/>
        <v>-</v>
      </c>
      <c r="CN145" s="114">
        <f t="shared" si="1030"/>
        <v>172</v>
      </c>
      <c r="CO145" s="114">
        <f t="shared" si="1031"/>
        <v>193</v>
      </c>
      <c r="CP145" s="114">
        <f t="shared" si="1032"/>
        <v>230</v>
      </c>
      <c r="CQ145" s="114">
        <f t="shared" si="1033"/>
        <v>300</v>
      </c>
      <c r="CR145" s="114">
        <f t="shared" si="1034"/>
        <v>328</v>
      </c>
      <c r="CS145" s="114">
        <f t="shared" si="1035"/>
        <v>341</v>
      </c>
      <c r="CT145" s="109">
        <f t="shared" si="1036"/>
        <v>1</v>
      </c>
    </row>
    <row r="146" spans="1:1029" s="12" customFormat="1" x14ac:dyDescent="0.2">
      <c r="A146" s="9" t="str">
        <f>CONCATENATE(B146,"_",C146)</f>
        <v>adrb2_human_6NI3</v>
      </c>
      <c r="B146" s="9" t="s">
        <v>126</v>
      </c>
      <c r="C146" s="9" t="s">
        <v>1611</v>
      </c>
      <c r="D146" s="9" t="str">
        <f>IFERROR(MID(VLOOKUP($B146,Seqs!$A:$B,2,0),E146,1),"")</f>
        <v>V</v>
      </c>
      <c r="E146" s="9">
        <v>31</v>
      </c>
      <c r="F146" s="9" t="str">
        <f>IFERROR(MID(VLOOKUP($B146,Seqs!$A:$B,2,0),G146,1),"")</f>
        <v>K</v>
      </c>
      <c r="G146" s="9">
        <v>60</v>
      </c>
      <c r="H146" s="9" t="str">
        <f>IFERROR(MID(VLOOKUP($B146,Seqs!$A:$B,2,0),I146,1),"")</f>
        <v/>
      </c>
      <c r="I146" s="109" t="s">
        <v>23</v>
      </c>
      <c r="J146" s="9" t="str">
        <f>IFERROR(MID(VLOOKUP($B146,Seqs!$A:$B,2,0),K146,1),"")</f>
        <v/>
      </c>
      <c r="K146" s="109" t="s">
        <v>23</v>
      </c>
      <c r="L146" s="9" t="str">
        <f>IFERROR(MID(VLOOKUP($B146,Seqs!$A:$B,2,0),M146,1),"")</f>
        <v>T</v>
      </c>
      <c r="M146" s="9">
        <v>66</v>
      </c>
      <c r="N146" s="9" t="str">
        <f>IFERROR(MID(VLOOKUP($B146,Seqs!$A:$B,2,0),O146,1),"")</f>
        <v>K</v>
      </c>
      <c r="O146" s="9">
        <v>97</v>
      </c>
      <c r="P146" s="9" t="str">
        <f>IFERROR(MID(VLOOKUP($B146,Seqs!$A:$B,2,0),Q146,1),"")</f>
        <v>M</v>
      </c>
      <c r="Q146" s="9">
        <v>98</v>
      </c>
      <c r="R146" s="9" t="str">
        <f>IFERROR(MID(VLOOKUP($B146,Seqs!$A:$B,2,0),S146,1),"")</f>
        <v>F</v>
      </c>
      <c r="S146" s="9">
        <v>101</v>
      </c>
      <c r="T146" s="9" t="str">
        <f>IFERROR(MID(VLOOKUP($B146,Seqs!$A:$B,2,0),U146,1),"")</f>
        <v>G</v>
      </c>
      <c r="U146" s="9">
        <v>102</v>
      </c>
      <c r="V146" s="9" t="str">
        <f>IFERROR(MID(VLOOKUP($B146,Seqs!$A:$B,2,0),W146,1),"")</f>
        <v>S</v>
      </c>
      <c r="W146" s="9">
        <v>137</v>
      </c>
      <c r="X146" s="9" t="str">
        <f>IFERROR(MID(VLOOKUP($B146,Seqs!$A:$B,2,0),Y146,1),"")</f>
        <v>P</v>
      </c>
      <c r="Y146" s="9">
        <v>138</v>
      </c>
      <c r="Z146" s="9" t="str">
        <f>IFERROR(MID(VLOOKUP($B146,Seqs!$A:$B,2,0),AA146,1),"")</f>
        <v>L</v>
      </c>
      <c r="AA146" s="9">
        <v>145</v>
      </c>
      <c r="AB146" s="9" t="str">
        <f>IFERROR(MID(VLOOKUP($B146,Seqs!$A:$B,2,0),AC146,1),"")</f>
        <v>T</v>
      </c>
      <c r="AC146" s="9">
        <v>146</v>
      </c>
      <c r="AD146" s="9" t="str">
        <f>IFERROR(MID(VLOOKUP($B146,Seqs!$A:$B,2,0),AE146,1),"")</f>
        <v>H</v>
      </c>
      <c r="AE146" s="9">
        <v>172</v>
      </c>
      <c r="AF146" s="9" t="str">
        <f>IFERROR(MID(VLOOKUP($B146,Seqs!$A:$B,2,0),AG146,1),"")</f>
        <v/>
      </c>
      <c r="AG146" s="9" t="s">
        <v>23</v>
      </c>
      <c r="AH146" s="9" t="str">
        <f>IFERROR(MID(VLOOKUP($B146,Seqs!$A:$B,2,0),AI146,1),"")</f>
        <v/>
      </c>
      <c r="AI146" s="9" t="s">
        <v>23</v>
      </c>
      <c r="AJ146" s="9" t="str">
        <f>IFERROR(MID(VLOOKUP($B146,Seqs!$A:$B,2,0),AK146,1),"")</f>
        <v>N</v>
      </c>
      <c r="AK146" s="9">
        <v>196</v>
      </c>
      <c r="AL146" s="9" t="str">
        <f>IFERROR(MID(VLOOKUP($B146,Seqs!$A:$B,2,0),AM146,1),"")</f>
        <v>S</v>
      </c>
      <c r="AM146" s="9">
        <v>236</v>
      </c>
      <c r="AN146" s="9" t="str">
        <f>IFERROR(MID(VLOOKUP($B146,Seqs!$A:$B,2,0),AO146,1),"")</f>
        <v>C</v>
      </c>
      <c r="AO146" s="9">
        <v>265</v>
      </c>
      <c r="AP146" s="9" t="str">
        <f>IFERROR(MID(VLOOKUP($B146,Seqs!$A:$B,2,0),AQ146,1),"")</f>
        <v>Q</v>
      </c>
      <c r="AQ146" s="9">
        <v>299</v>
      </c>
      <c r="AR146" s="9" t="str">
        <f>IFERROR(MID(VLOOKUP($B146,Seqs!$A:$B,2,0),AS146,1),"")</f>
        <v>R</v>
      </c>
      <c r="AS146" s="9">
        <v>304</v>
      </c>
      <c r="AT146" s="9" t="str">
        <f>IFERROR(MID(VLOOKUP($B146,Seqs!$A:$B,2,0),AU146,1),"")</f>
        <v>C</v>
      </c>
      <c r="AU146" s="9">
        <v>327</v>
      </c>
      <c r="AV146" s="9" t="str">
        <f>IFERROR(MID(VLOOKUP($B146,Seqs!$A:$B,2,0),AW146,1),"")</f>
        <v>S</v>
      </c>
      <c r="AW146" s="9">
        <v>329</v>
      </c>
      <c r="AX146" s="9" t="str">
        <f>IFERROR(MID(VLOOKUP($B146,Seqs!$A:$B,2,0),AY146,1),"")</f>
        <v>L</v>
      </c>
      <c r="AY146" s="9">
        <v>340</v>
      </c>
      <c r="AZ146" s="110" t="str">
        <f>VLOOKUP(B146,Classification!A:D,2,0)</f>
        <v>A</v>
      </c>
      <c r="BA146" s="98" t="str">
        <f>VLOOKUP(B146,Classification!A:D,4,0)</f>
        <v>Adrenoceptors</v>
      </c>
      <c r="BB146" s="36" t="b">
        <f t="shared" si="1010"/>
        <v>1</v>
      </c>
      <c r="BC146" s="109">
        <f t="shared" si="1011"/>
        <v>251</v>
      </c>
      <c r="BD146" s="123" t="s">
        <v>23</v>
      </c>
      <c r="BE146" s="9" t="s">
        <v>1368</v>
      </c>
      <c r="BF146" s="119">
        <v>3.8</v>
      </c>
      <c r="BG146" s="51" t="s">
        <v>1416</v>
      </c>
      <c r="BH146" s="51" t="s">
        <v>1416</v>
      </c>
      <c r="BJ146" s="111" t="s">
        <v>1281</v>
      </c>
      <c r="BK146" s="112" t="s">
        <v>1281</v>
      </c>
      <c r="BL146" s="112" t="s">
        <v>1281</v>
      </c>
      <c r="BM146" s="112" t="s">
        <v>1281</v>
      </c>
      <c r="BN146" s="112" t="s">
        <v>1281</v>
      </c>
      <c r="BO146" s="112" t="s">
        <v>1281</v>
      </c>
      <c r="BP146" s="112" t="s">
        <v>1281</v>
      </c>
      <c r="BQ146" s="112" t="s">
        <v>1281</v>
      </c>
      <c r="BR146" s="112" t="s">
        <v>1281</v>
      </c>
      <c r="BS146" s="112" t="s">
        <v>1281</v>
      </c>
      <c r="BT146" s="112" t="s">
        <v>1281</v>
      </c>
      <c r="BU146" s="112" t="s">
        <v>1281</v>
      </c>
      <c r="BV146" s="111">
        <f t="shared" si="1012"/>
        <v>31</v>
      </c>
      <c r="BW146" s="113" t="str">
        <f t="shared" si="1013"/>
        <v>-</v>
      </c>
      <c r="BX146" s="114">
        <f t="shared" si="1014"/>
        <v>66</v>
      </c>
      <c r="BY146" s="113">
        <f t="shared" si="1015"/>
        <v>98</v>
      </c>
      <c r="BZ146" s="114">
        <f t="shared" si="1016"/>
        <v>102</v>
      </c>
      <c r="CA146" s="113">
        <f t="shared" si="1017"/>
        <v>138</v>
      </c>
      <c r="CB146" s="114">
        <f t="shared" si="1018"/>
        <v>146</v>
      </c>
      <c r="CC146" s="113" t="str">
        <f t="shared" si="1019"/>
        <v>-</v>
      </c>
      <c r="CD146" s="114">
        <f t="shared" si="1020"/>
        <v>196</v>
      </c>
      <c r="CE146" s="113">
        <f t="shared" si="1021"/>
        <v>265</v>
      </c>
      <c r="CF146" s="114">
        <f t="shared" si="1022"/>
        <v>304</v>
      </c>
      <c r="CG146" s="113">
        <f t="shared" si="1023"/>
        <v>329</v>
      </c>
      <c r="CH146" s="111">
        <f t="shared" si="1024"/>
        <v>60</v>
      </c>
      <c r="CI146" s="113" t="str">
        <f t="shared" si="1025"/>
        <v>-</v>
      </c>
      <c r="CJ146" s="114">
        <f t="shared" si="1026"/>
        <v>97</v>
      </c>
      <c r="CK146" s="114">
        <f t="shared" si="1027"/>
        <v>101</v>
      </c>
      <c r="CL146" s="114">
        <f t="shared" si="1028"/>
        <v>137</v>
      </c>
      <c r="CM146" s="114">
        <f t="shared" si="1029"/>
        <v>145</v>
      </c>
      <c r="CN146" s="114">
        <f t="shared" si="1030"/>
        <v>172</v>
      </c>
      <c r="CO146" s="114" t="str">
        <f t="shared" si="1031"/>
        <v>-</v>
      </c>
      <c r="CP146" s="114">
        <f t="shared" si="1032"/>
        <v>236</v>
      </c>
      <c r="CQ146" s="114">
        <f t="shared" si="1033"/>
        <v>299</v>
      </c>
      <c r="CR146" s="114">
        <f t="shared" si="1034"/>
        <v>327</v>
      </c>
      <c r="CS146" s="114">
        <f t="shared" si="1035"/>
        <v>340</v>
      </c>
      <c r="CT146" s="109" t="e">
        <f t="shared" si="1036"/>
        <v>#VALUE!</v>
      </c>
    </row>
    <row r="147" spans="1:1029" s="12" customFormat="1" x14ac:dyDescent="0.2">
      <c r="A147" s="9" t="str">
        <f>CONCATENATE(B147,"_",C147)</f>
        <v>adrb2_human_6OBA</v>
      </c>
      <c r="B147" s="9" t="s">
        <v>126</v>
      </c>
      <c r="C147" s="9" t="s">
        <v>1652</v>
      </c>
      <c r="D147" s="9" t="str">
        <f>IFERROR(MID(VLOOKUP($B147,Seqs!$A:$B,2,0),E147,1),"")</f>
        <v>W</v>
      </c>
      <c r="E147" s="9">
        <v>32</v>
      </c>
      <c r="F147" s="9" t="str">
        <f>IFERROR(MID(VLOOKUP($B147,Seqs!$A:$B,2,0),G147,1),"")</f>
        <v>F</v>
      </c>
      <c r="G147" s="9">
        <v>61</v>
      </c>
      <c r="H147" s="9" t="str">
        <f>IFERROR(MID(VLOOKUP($B147,Seqs!$A:$B,2,0),I147,1),"")</f>
        <v>E</v>
      </c>
      <c r="I147" s="109">
        <v>62</v>
      </c>
      <c r="J147" s="9" t="str">
        <f>IFERROR(MID(VLOOKUP($B147,Seqs!$A:$B,2,0),K147,1),"")</f>
        <v>Q</v>
      </c>
      <c r="K147" s="109">
        <v>65</v>
      </c>
      <c r="L147" s="9" t="str">
        <f>IFERROR(MID(VLOOKUP($B147,Seqs!$A:$B,2,0),M147,1),"")</f>
        <v>T</v>
      </c>
      <c r="M147" s="9">
        <v>66</v>
      </c>
      <c r="N147" s="9" t="str">
        <f>IFERROR(MID(VLOOKUP($B147,Seqs!$A:$B,2,0),O147,1),"")</f>
        <v>K</v>
      </c>
      <c r="O147" s="9">
        <v>97</v>
      </c>
      <c r="P147" s="9" t="str">
        <f>IFERROR(MID(VLOOKUP($B147,Seqs!$A:$B,2,0),Q147,1),"")</f>
        <v>M</v>
      </c>
      <c r="Q147" s="9">
        <v>98</v>
      </c>
      <c r="R147" s="9" t="str">
        <f>IFERROR(MID(VLOOKUP($B147,Seqs!$A:$B,2,0),S147,1),"")</f>
        <v>F</v>
      </c>
      <c r="S147" s="9">
        <v>101</v>
      </c>
      <c r="T147" s="9" t="str">
        <f>IFERROR(MID(VLOOKUP($B147,Seqs!$A:$B,2,0),U147,1),"")</f>
        <v>G</v>
      </c>
      <c r="U147" s="9">
        <v>102</v>
      </c>
      <c r="V147" s="9" t="str">
        <f>IFERROR(MID(VLOOKUP($B147,Seqs!$A:$B,2,0),W147,1),"")</f>
        <v>S</v>
      </c>
      <c r="W147" s="9">
        <v>137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T</v>
      </c>
      <c r="AC147" s="9">
        <v>146</v>
      </c>
      <c r="AD147" s="9" t="str">
        <f>IFERROR(MID(VLOOKUP($B147,Seqs!$A:$B,2,0),AE147,1),"")</f>
        <v>H</v>
      </c>
      <c r="AE147" s="9">
        <v>172</v>
      </c>
      <c r="AF147" s="9" t="str">
        <f>IFERROR(MID(VLOOKUP($B147,Seqs!$A:$B,2,0),AG147,1),"")</f>
        <v>C</v>
      </c>
      <c r="AG147" s="9">
        <v>191</v>
      </c>
      <c r="AH147" s="9" t="str">
        <f>IFERROR(MID(VLOOKUP($B147,Seqs!$A:$B,2,0),AI147,1),"")</f>
        <v>F</v>
      </c>
      <c r="AI147" s="9">
        <v>193</v>
      </c>
      <c r="AJ147" s="9" t="str">
        <f>IFERROR(MID(VLOOKUP($B147,Seqs!$A:$B,2,0),AK147,1),"")</f>
        <v>N</v>
      </c>
      <c r="AK147" s="9">
        <v>196</v>
      </c>
      <c r="AL147" s="9" t="str">
        <f>IFERROR(MID(VLOOKUP($B147,Seqs!$A:$B,2,0),AM147,1),"")</f>
        <v>Q</v>
      </c>
      <c r="AM147" s="9">
        <v>229</v>
      </c>
      <c r="AN147" s="9" t="str">
        <f>IFERROR(MID(VLOOKUP($B147,Seqs!$A:$B,2,0),AO147,1),"")</f>
        <v>L</v>
      </c>
      <c r="AO147" s="9">
        <v>266</v>
      </c>
      <c r="AP147" s="9" t="str">
        <f>IFERROR(MID(VLOOKUP($B147,Seqs!$A:$B,2,0),AQ147,1),"")</f>
        <v>D</v>
      </c>
      <c r="AQ147" s="9">
        <v>300</v>
      </c>
      <c r="AR147" s="9" t="str">
        <f>IFERROR(MID(VLOOKUP($B147,Seqs!$A:$B,2,0),AS147,1),"")</f>
        <v>R</v>
      </c>
      <c r="AS147" s="9">
        <v>304</v>
      </c>
      <c r="AT147" s="9" t="str">
        <f>IFERROR(MID(VLOOKUP($B147,Seqs!$A:$B,2,0),AU147,1),"")</f>
        <v>R</v>
      </c>
      <c r="AU147" s="9">
        <v>328</v>
      </c>
      <c r="AV147" s="9" t="str">
        <f>IFERROR(MID(VLOOKUP($B147,Seqs!$A:$B,2,0),AW147,1),"")</f>
        <v>S</v>
      </c>
      <c r="AW147" s="9">
        <v>329</v>
      </c>
      <c r="AX147" s="9" t="str">
        <f>IFERROR(MID(VLOOKUP($B147,Seqs!$A:$B,2,0),AY147,1),"")</f>
        <v>C</v>
      </c>
      <c r="AY147" s="9">
        <v>341</v>
      </c>
      <c r="AZ147" s="110" t="str">
        <f>VLOOKUP(B147,Classification!A:D,2,0)</f>
        <v>A</v>
      </c>
      <c r="BA147" s="98" t="str">
        <f>VLOOKUP(B147,Classification!A:D,4,0)</f>
        <v>Adrenoceptors</v>
      </c>
      <c r="BB147" s="36" t="b">
        <f t="shared" ref="BB147" si="1037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 t="shared" ref="BC147" si="1038">_xlfn.AGGREGATE(9,6,CH147:CS147)-_xlfn.AGGREGATE(9,6,BV147:CG147)+12</f>
        <v>244</v>
      </c>
      <c r="BD147" s="123" t="s">
        <v>23</v>
      </c>
      <c r="BE147" s="9" t="s">
        <v>1368</v>
      </c>
      <c r="BF147" s="119">
        <v>3.1</v>
      </c>
      <c r="BG147" s="51" t="s">
        <v>1</v>
      </c>
      <c r="BH147" s="51" t="s">
        <v>1</v>
      </c>
      <c r="BJ147" s="111" t="s">
        <v>1281</v>
      </c>
      <c r="BK147" s="112" t="s">
        <v>1281</v>
      </c>
      <c r="BL147" s="112" t="s">
        <v>1281</v>
      </c>
      <c r="BM147" s="112" t="s">
        <v>1281</v>
      </c>
      <c r="BN147" s="112" t="s">
        <v>1281</v>
      </c>
      <c r="BO147" s="112" t="s">
        <v>1281</v>
      </c>
      <c r="BP147" s="112" t="s">
        <v>1281</v>
      </c>
      <c r="BQ147" s="112" t="s">
        <v>1281</v>
      </c>
      <c r="BR147" s="112" t="s">
        <v>1281</v>
      </c>
      <c r="BS147" s="112" t="s">
        <v>1281</v>
      </c>
      <c r="BT147" s="112" t="s">
        <v>1281</v>
      </c>
      <c r="BU147" s="112" t="s">
        <v>1281</v>
      </c>
      <c r="BV147" s="111">
        <f t="shared" ref="BV147" si="1039">E147</f>
        <v>32</v>
      </c>
      <c r="BW147" s="113">
        <f t="shared" ref="BW147" si="1040">I147</f>
        <v>62</v>
      </c>
      <c r="BX147" s="114">
        <f t="shared" ref="BX147" si="1041">M147</f>
        <v>66</v>
      </c>
      <c r="BY147" s="113">
        <f t="shared" ref="BY147" si="1042">Q147</f>
        <v>98</v>
      </c>
      <c r="BZ147" s="114">
        <f t="shared" ref="BZ147" si="1043">U147</f>
        <v>102</v>
      </c>
      <c r="CA147" s="113" t="str">
        <f t="shared" ref="CA147" si="1044">Y147</f>
        <v>-</v>
      </c>
      <c r="CB147" s="114">
        <f t="shared" ref="CB147" si="1045">AC147</f>
        <v>146</v>
      </c>
      <c r="CC147" s="113">
        <f t="shared" ref="CC147" si="1046">AG147</f>
        <v>191</v>
      </c>
      <c r="CD147" s="114">
        <f t="shared" ref="CD147" si="1047">AK147</f>
        <v>196</v>
      </c>
      <c r="CE147" s="113">
        <f t="shared" ref="CE147" si="1048">AO147</f>
        <v>266</v>
      </c>
      <c r="CF147" s="114">
        <f t="shared" ref="CF147" si="1049">AS147</f>
        <v>304</v>
      </c>
      <c r="CG147" s="113">
        <f t="shared" ref="CG147" si="1050">AW147</f>
        <v>329</v>
      </c>
      <c r="CH147" s="111">
        <f t="shared" ref="CH147" si="1051">G147</f>
        <v>61</v>
      </c>
      <c r="CI147" s="113">
        <f t="shared" ref="CI147" si="1052">K147</f>
        <v>65</v>
      </c>
      <c r="CJ147" s="114">
        <f t="shared" ref="CJ147" si="1053">O147</f>
        <v>97</v>
      </c>
      <c r="CK147" s="114">
        <f t="shared" ref="CK147" si="1054">S147</f>
        <v>101</v>
      </c>
      <c r="CL147" s="114">
        <f t="shared" ref="CL147" si="1055">W147</f>
        <v>137</v>
      </c>
      <c r="CM147" s="114" t="str">
        <f t="shared" ref="CM147" si="1056">AA147</f>
        <v>-</v>
      </c>
      <c r="CN147" s="114">
        <f t="shared" ref="CN147" si="1057">AE147</f>
        <v>172</v>
      </c>
      <c r="CO147" s="114">
        <f t="shared" ref="CO147" si="1058">AI147</f>
        <v>193</v>
      </c>
      <c r="CP147" s="114">
        <f t="shared" ref="CP147" si="1059">AM147</f>
        <v>229</v>
      </c>
      <c r="CQ147" s="114">
        <f t="shared" ref="CQ147" si="1060">AQ147</f>
        <v>300</v>
      </c>
      <c r="CR147" s="114">
        <f t="shared" ref="CR147" si="1061">AU147</f>
        <v>328</v>
      </c>
      <c r="CS147" s="114">
        <f t="shared" ref="CS147" si="1062">AY147</f>
        <v>341</v>
      </c>
      <c r="CT147" s="109">
        <f t="shared" ref="CT147" si="1063">M147-K147</f>
        <v>1</v>
      </c>
    </row>
    <row r="148" spans="1:1029" x14ac:dyDescent="0.2">
      <c r="A148" s="3" t="str">
        <f t="shared" si="1007"/>
        <v>agtr1_human__wt</v>
      </c>
      <c r="B148" s="3" t="s">
        <v>158</v>
      </c>
      <c r="C148" s="3" t="s">
        <v>100</v>
      </c>
      <c r="D148" s="3" t="str">
        <f>IFERROR(MID(VLOOKUP($B148,Seqs!$A:$B,2,0),E148,1),"")</f>
        <v>H</v>
      </c>
      <c r="E148" s="105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E</v>
      </c>
      <c r="O148" s="105">
        <v>91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>P</v>
      </c>
      <c r="Y148" s="3">
        <v>133</v>
      </c>
      <c r="Z148" s="3" t="str">
        <f>IFERROR(MID(VLOOKUP($B148,Seqs!$A:$B,2,0),AA148,1),"")</f>
        <v>R</v>
      </c>
      <c r="AA148" s="3">
        <v>140</v>
      </c>
      <c r="AB148" s="3" t="str">
        <f>IFERROR(MID(VLOOKUP($B148,Seqs!$A:$B,2,0),AC148,1),"")</f>
        <v>T</v>
      </c>
      <c r="AC148" s="9">
        <v>141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A</v>
      </c>
      <c r="AM148" s="3">
        <v>225</v>
      </c>
      <c r="AN148" s="3" t="str">
        <f>IFERROR(MID(VLOOKUP($B148,Seqs!$A:$B,2,0),AO148,1),"")</f>
        <v>P</v>
      </c>
      <c r="AO148" s="3">
        <v>233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L</v>
      </c>
      <c r="AU148" s="3">
        <v>305</v>
      </c>
      <c r="AV148" s="3" t="str">
        <f>IFERROR(MID(VLOOKUP($B148,Seqs!$A:$B,2,0),AW148,1),"")</f>
        <v>G</v>
      </c>
      <c r="AW148" s="3">
        <v>306</v>
      </c>
      <c r="AX148" s="3" t="str">
        <f>IFERROR(MID(VLOOKUP($B148,Seqs!$A:$B,2,0),AY148,1),"")</f>
        <v>I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1008"/>
        <v>1</v>
      </c>
      <c r="BC148" s="23">
        <f t="shared" si="785"/>
        <v>266</v>
      </c>
      <c r="BD148" s="56" t="s">
        <v>23</v>
      </c>
      <c r="BE148" s="3" t="s">
        <v>23</v>
      </c>
      <c r="BF148" s="118" t="s">
        <v>23</v>
      </c>
      <c r="BG148" s="49" t="s">
        <v>1366</v>
      </c>
      <c r="BH148" s="49" t="s">
        <v>1371</v>
      </c>
      <c r="BI148" s="1"/>
      <c r="BJ148" s="70" t="s">
        <v>1281</v>
      </c>
      <c r="BK148" s="57" t="s">
        <v>1281</v>
      </c>
      <c r="BL148" s="57" t="s">
        <v>1281</v>
      </c>
      <c r="BM148" s="57" t="s">
        <v>1281</v>
      </c>
      <c r="BN148" s="57" t="s">
        <v>1281</v>
      </c>
      <c r="BO148" s="57" t="s">
        <v>1281</v>
      </c>
      <c r="BP148" s="57" t="s">
        <v>1281</v>
      </c>
      <c r="BQ148" s="57" t="s">
        <v>1281</v>
      </c>
      <c r="BR148" s="57" t="s">
        <v>1281</v>
      </c>
      <c r="BS148" s="57" t="s">
        <v>1281</v>
      </c>
      <c r="BT148" s="57" t="s">
        <v>1281</v>
      </c>
      <c r="BU148" s="57" t="s">
        <v>1281</v>
      </c>
      <c r="BV148" s="70">
        <f t="shared" si="786"/>
        <v>24</v>
      </c>
      <c r="BW148" s="71">
        <f t="shared" si="787"/>
        <v>57</v>
      </c>
      <c r="BX148" s="72">
        <f t="shared" si="788"/>
        <v>61</v>
      </c>
      <c r="BY148" s="71">
        <f t="shared" si="789"/>
        <v>93</v>
      </c>
      <c r="BZ148" s="72">
        <f t="shared" si="790"/>
        <v>97</v>
      </c>
      <c r="CA148" s="71">
        <f t="shared" si="791"/>
        <v>133</v>
      </c>
      <c r="CB148" s="72">
        <f t="shared" si="792"/>
        <v>141</v>
      </c>
      <c r="CC148" s="71">
        <f t="shared" si="793"/>
        <v>180</v>
      </c>
      <c r="CD148" s="72">
        <f t="shared" si="794"/>
        <v>191</v>
      </c>
      <c r="CE148" s="71">
        <f t="shared" si="795"/>
        <v>233</v>
      </c>
      <c r="CF148" s="72">
        <f t="shared" si="796"/>
        <v>273</v>
      </c>
      <c r="CG148" s="71">
        <f t="shared" si="797"/>
        <v>306</v>
      </c>
      <c r="CH148" s="70">
        <f t="shared" si="798"/>
        <v>56</v>
      </c>
      <c r="CI148" s="71">
        <f t="shared" si="799"/>
        <v>60</v>
      </c>
      <c r="CJ148" s="72">
        <f t="shared" si="800"/>
        <v>91</v>
      </c>
      <c r="CK148" s="72">
        <f t="shared" si="801"/>
        <v>96</v>
      </c>
      <c r="CL148" s="72">
        <f t="shared" si="802"/>
        <v>132</v>
      </c>
      <c r="CM148" s="72">
        <f t="shared" si="803"/>
        <v>140</v>
      </c>
      <c r="CN148" s="72">
        <f t="shared" si="804"/>
        <v>167</v>
      </c>
      <c r="CO148" s="72">
        <f t="shared" si="805"/>
        <v>182</v>
      </c>
      <c r="CP148" s="72">
        <f t="shared" si="806"/>
        <v>225</v>
      </c>
      <c r="CQ148" s="72">
        <f t="shared" si="807"/>
        <v>269</v>
      </c>
      <c r="CR148" s="72">
        <f t="shared" si="808"/>
        <v>305</v>
      </c>
      <c r="CS148" s="72">
        <f t="shared" si="809"/>
        <v>320</v>
      </c>
      <c r="CT148" s="23">
        <f t="shared" si="810"/>
        <v>1</v>
      </c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</row>
    <row r="149" spans="1:1029" x14ac:dyDescent="0.2">
      <c r="A149" s="3" t="str">
        <f t="shared" si="1007"/>
        <v>agtr1_human_4YAY</v>
      </c>
      <c r="B149" s="3" t="s">
        <v>158</v>
      </c>
      <c r="C149" s="3" t="s">
        <v>69</v>
      </c>
      <c r="D149" s="3" t="str">
        <f>IFERROR(MID(VLOOKUP($B149,Seqs!$A:$B,2,0),E149,1),"")</f>
        <v>Y</v>
      </c>
      <c r="E149" s="3">
        <v>26</v>
      </c>
      <c r="F149" s="3" t="str">
        <f>IFERROR(MID(VLOOKUP($B149,Seqs!$A:$B,2,0),G149,1),"")</f>
        <v>Y</v>
      </c>
      <c r="G149" s="3">
        <v>56</v>
      </c>
      <c r="H149" s="3" t="str">
        <f>IFERROR(MID(VLOOKUP($B149,Seqs!$A:$B,2,0),I149,1),"")</f>
        <v>M</v>
      </c>
      <c r="I149" s="23">
        <v>57</v>
      </c>
      <c r="J149" s="3" t="str">
        <f>IFERROR(MID(VLOOKUP($B149,Seqs!$A:$B,2,0),K149,1),"")</f>
        <v>K</v>
      </c>
      <c r="K149" s="23">
        <v>60</v>
      </c>
      <c r="L149" s="3" t="str">
        <f>IFERROR(MID(VLOOKUP($B149,Seqs!$A:$B,2,0),M149,1),"")</f>
        <v>T</v>
      </c>
      <c r="M149" s="3">
        <v>61</v>
      </c>
      <c r="N149" s="3" t="str">
        <f>IFERROR(MID(VLOOKUP($B149,Seqs!$A:$B,2,0),O149,1),"")</f>
        <v>E</v>
      </c>
      <c r="O149" s="3">
        <v>91</v>
      </c>
      <c r="P149" s="3" t="str">
        <f>IFERROR(MID(VLOOKUP($B149,Seqs!$A:$B,2,0),Q149,1),"")</f>
        <v>R</v>
      </c>
      <c r="Q149" s="3">
        <v>93</v>
      </c>
      <c r="R149" s="3" t="str">
        <f>IFERROR(MID(VLOOKUP($B149,Seqs!$A:$B,2,0),S149,1),"")</f>
        <v>F</v>
      </c>
      <c r="S149" s="3">
        <v>96</v>
      </c>
      <c r="T149" s="3" t="str">
        <f>IFERROR(MID(VLOOKUP($B149,Seqs!$A:$B,2,0),U149,1),"")</f>
        <v>G</v>
      </c>
      <c r="U149" s="3">
        <v>97</v>
      </c>
      <c r="V149" s="3" t="str">
        <f>IFERROR(MID(VLOOKUP($B149,Seqs!$A:$B,2,0),W149,1),"")</f>
        <v>H</v>
      </c>
      <c r="W149" s="3">
        <v>132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R</v>
      </c>
      <c r="AC149" s="9">
        <v>137</v>
      </c>
      <c r="AD149" s="3" t="str">
        <f>IFERROR(MID(VLOOKUP($B149,Seqs!$A:$B,2,0),AE149,1),"")</f>
        <v>R</v>
      </c>
      <c r="AE149" s="3">
        <v>167</v>
      </c>
      <c r="AF149" s="3" t="str">
        <f>IFERROR(MID(VLOOKUP($B149,Seqs!$A:$B,2,0),AG149,1),"")</f>
        <v>C</v>
      </c>
      <c r="AG149" s="3">
        <v>180</v>
      </c>
      <c r="AH149" s="3" t="str">
        <f>IFERROR(MID(VLOOKUP($B149,Seqs!$A:$B,2,0),AI149,1),"")</f>
        <v>F</v>
      </c>
      <c r="AI149" s="3">
        <v>182</v>
      </c>
      <c r="AJ149" s="3" t="str">
        <f>IFERROR(MID(VLOOKUP($B149,Seqs!$A:$B,2,0),AK149,1),"")</f>
        <v>L</v>
      </c>
      <c r="AK149" s="3">
        <v>191</v>
      </c>
      <c r="AL149" s="3" t="str">
        <f>IFERROR(MID(VLOOKUP($B149,Seqs!$A:$B,2,0),AM149,1),"")</f>
        <v>L</v>
      </c>
      <c r="AM149" s="3">
        <v>222</v>
      </c>
      <c r="AN149" s="3" t="str">
        <f>IFERROR(MID(VLOOKUP($B149,Seqs!$A:$B,2,0),AO149,1),"")</f>
        <v>N</v>
      </c>
      <c r="AO149" s="3">
        <v>235</v>
      </c>
      <c r="AP149" s="3" t="str">
        <f>IFERROR(MID(VLOOKUP($B149,Seqs!$A:$B,2,0),AQ149,1),"")</f>
        <v>G</v>
      </c>
      <c r="AQ149" s="3">
        <v>269</v>
      </c>
      <c r="AR149" s="3" t="str">
        <f>IFERROR(MID(VLOOKUP($B149,Seqs!$A:$B,2,0),AS149,1),"")</f>
        <v>D</v>
      </c>
      <c r="AS149" s="3">
        <v>273</v>
      </c>
      <c r="AT149" s="3" t="str">
        <f>IFERROR(MID(VLOOKUP($B149,Seqs!$A:$B,2,0),AU149,1),"")</f>
        <v>N</v>
      </c>
      <c r="AU149" s="3">
        <v>298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Angiotensin</v>
      </c>
      <c r="BB149" s="27" t="b">
        <f t="shared" si="1008"/>
        <v>1</v>
      </c>
      <c r="BC149" s="23">
        <f t="shared" si="785"/>
        <v>235</v>
      </c>
      <c r="BD149" s="4" t="s">
        <v>23</v>
      </c>
      <c r="BE149" s="3" t="s">
        <v>1368</v>
      </c>
      <c r="BF149" s="118">
        <v>2.9</v>
      </c>
      <c r="BG149" s="49" t="s">
        <v>1371</v>
      </c>
      <c r="BH149" s="49" t="s">
        <v>1371</v>
      </c>
      <c r="BI149" s="1"/>
      <c r="BJ149" s="70" t="s">
        <v>1281</v>
      </c>
      <c r="BK149" s="57" t="s">
        <v>1281</v>
      </c>
      <c r="BL149" s="57" t="s">
        <v>1281</v>
      </c>
      <c r="BM149" s="57" t="s">
        <v>1281</v>
      </c>
      <c r="BN149" s="57" t="s">
        <v>1281</v>
      </c>
      <c r="BO149" s="57" t="s">
        <v>1281</v>
      </c>
      <c r="BP149" s="57" t="s">
        <v>1281</v>
      </c>
      <c r="BQ149" s="57" t="s">
        <v>1281</v>
      </c>
      <c r="BR149" s="57" t="s">
        <v>1281</v>
      </c>
      <c r="BS149" s="57" t="s">
        <v>1281</v>
      </c>
      <c r="BT149" s="57" t="s">
        <v>1281</v>
      </c>
      <c r="BU149" s="57" t="s">
        <v>1281</v>
      </c>
      <c r="BV149" s="70">
        <f t="shared" si="786"/>
        <v>26</v>
      </c>
      <c r="BW149" s="71">
        <f t="shared" si="787"/>
        <v>57</v>
      </c>
      <c r="BX149" s="72">
        <f t="shared" si="788"/>
        <v>61</v>
      </c>
      <c r="BY149" s="71">
        <f t="shared" si="789"/>
        <v>93</v>
      </c>
      <c r="BZ149" s="72">
        <f t="shared" si="790"/>
        <v>97</v>
      </c>
      <c r="CA149" s="71" t="str">
        <f t="shared" si="791"/>
        <v>-</v>
      </c>
      <c r="CB149" s="72">
        <f t="shared" si="792"/>
        <v>137</v>
      </c>
      <c r="CC149" s="71">
        <f t="shared" si="793"/>
        <v>180</v>
      </c>
      <c r="CD149" s="72">
        <f t="shared" si="794"/>
        <v>191</v>
      </c>
      <c r="CE149" s="71">
        <f t="shared" si="795"/>
        <v>235</v>
      </c>
      <c r="CF149" s="72">
        <f t="shared" si="796"/>
        <v>273</v>
      </c>
      <c r="CG149" s="71" t="str">
        <f t="shared" si="797"/>
        <v>-</v>
      </c>
      <c r="CH149" s="70">
        <f t="shared" si="798"/>
        <v>56</v>
      </c>
      <c r="CI149" s="71">
        <f t="shared" si="799"/>
        <v>60</v>
      </c>
      <c r="CJ149" s="72">
        <f t="shared" si="800"/>
        <v>91</v>
      </c>
      <c r="CK149" s="72">
        <f t="shared" si="801"/>
        <v>96</v>
      </c>
      <c r="CL149" s="72">
        <f t="shared" si="802"/>
        <v>132</v>
      </c>
      <c r="CM149" s="72" t="str">
        <f t="shared" si="803"/>
        <v>-</v>
      </c>
      <c r="CN149" s="72">
        <f t="shared" si="804"/>
        <v>167</v>
      </c>
      <c r="CO149" s="72">
        <f t="shared" si="805"/>
        <v>182</v>
      </c>
      <c r="CP149" s="72">
        <f t="shared" si="806"/>
        <v>222</v>
      </c>
      <c r="CQ149" s="72">
        <f t="shared" si="807"/>
        <v>269</v>
      </c>
      <c r="CR149" s="72">
        <f t="shared" si="808"/>
        <v>298</v>
      </c>
      <c r="CS149" s="72" t="str">
        <f t="shared" si="809"/>
        <v>-</v>
      </c>
      <c r="CT149" s="23">
        <f t="shared" si="810"/>
        <v>1</v>
      </c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</row>
    <row r="150" spans="1:1029" x14ac:dyDescent="0.2">
      <c r="A150" s="3" t="str">
        <f t="shared" si="1007"/>
        <v>agtr1_human_4YAY_dist</v>
      </c>
      <c r="B150" s="3" t="s">
        <v>158</v>
      </c>
      <c r="C150" s="3" t="s">
        <v>1153</v>
      </c>
      <c r="D150" s="3" t="str">
        <f>IFERROR(MID(VLOOKUP($B150,Seqs!$A:$B,2,0),E150,1),"")</f>
        <v>Y</v>
      </c>
      <c r="E150" s="3">
        <v>26</v>
      </c>
      <c r="F150" s="3" t="str">
        <f>IFERROR(MID(VLOOKUP($B150,Seqs!$A:$B,2,0),G150,1),"")</f>
        <v>Y</v>
      </c>
      <c r="G150" s="3">
        <v>56</v>
      </c>
      <c r="H150" s="3" t="str">
        <f>IFERROR(MID(VLOOKUP($B150,Seqs!$A:$B,2,0),I150,1),"")</f>
        <v>M</v>
      </c>
      <c r="I150" s="23">
        <v>57</v>
      </c>
      <c r="J150" s="3" t="str">
        <f>IFERROR(MID(VLOOKUP($B150,Seqs!$A:$B,2,0),K150,1),"")</f>
        <v>K</v>
      </c>
      <c r="K150" s="23">
        <v>60</v>
      </c>
      <c r="L150" s="3" t="str">
        <f>IFERROR(MID(VLOOKUP($B150,Seqs!$A:$B,2,0),M150,1),"")</f>
        <v>T</v>
      </c>
      <c r="M150" s="3">
        <v>61</v>
      </c>
      <c r="N150" s="3" t="str">
        <f>IFERROR(MID(VLOOKUP($B150,Seqs!$A:$B,2,0),O150,1),"")</f>
        <v>E</v>
      </c>
      <c r="O150" s="3">
        <v>91</v>
      </c>
      <c r="P150" s="3" t="str">
        <f>IFERROR(MID(VLOOKUP($B150,Seqs!$A:$B,2,0),Q150,1),"")</f>
        <v>R</v>
      </c>
      <c r="Q150" s="3">
        <v>93</v>
      </c>
      <c r="R150" s="3" t="str">
        <f>IFERROR(MID(VLOOKUP($B150,Seqs!$A:$B,2,0),S150,1),"")</f>
        <v>F</v>
      </c>
      <c r="S150" s="3">
        <v>96</v>
      </c>
      <c r="T150" s="3" t="str">
        <f>IFERROR(MID(VLOOKUP($B150,Seqs!$A:$B,2,0),U150,1),"")</f>
        <v>G</v>
      </c>
      <c r="U150" s="3">
        <v>97</v>
      </c>
      <c r="V150" s="3" t="str">
        <f>IFERROR(MID(VLOOKUP($B150,Seqs!$A:$B,2,0),W150,1),"")</f>
        <v>H</v>
      </c>
      <c r="W150" s="3">
        <v>132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R</v>
      </c>
      <c r="AC150" s="9">
        <v>137</v>
      </c>
      <c r="AD150" s="3" t="str">
        <f>IFERROR(MID(VLOOKUP($B150,Seqs!$A:$B,2,0),AE150,1),"")</f>
        <v>R</v>
      </c>
      <c r="AE150" s="3">
        <v>167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F</v>
      </c>
      <c r="AI150" s="3">
        <v>182</v>
      </c>
      <c r="AJ150" s="3" t="str">
        <f>IFERROR(MID(VLOOKUP($B150,Seqs!$A:$B,2,0),AK150,1),"")</f>
        <v>L</v>
      </c>
      <c r="AK150" s="3">
        <v>191</v>
      </c>
      <c r="AL150" s="3" t="str">
        <f>IFERROR(MID(VLOOKUP($B150,Seqs!$A:$B,2,0),AM150,1),"")</f>
        <v>L</v>
      </c>
      <c r="AM150" s="3">
        <v>222</v>
      </c>
      <c r="AN150" s="3" t="str">
        <f>IFERROR(MID(VLOOKUP($B150,Seqs!$A:$B,2,0),AO150,1),"")</f>
        <v>N</v>
      </c>
      <c r="AO150" s="3">
        <v>235</v>
      </c>
      <c r="AP150" s="3" t="str">
        <f>IFERROR(MID(VLOOKUP($B150,Seqs!$A:$B,2,0),AQ150,1),"")</f>
        <v>G</v>
      </c>
      <c r="AQ150" s="3">
        <v>269</v>
      </c>
      <c r="AR150" s="3" t="str">
        <f>IFERROR(MID(VLOOKUP($B150,Seqs!$A:$B,2,0),AS150,1),"")</f>
        <v>D</v>
      </c>
      <c r="AS150" s="3">
        <v>273</v>
      </c>
      <c r="AT150" s="3" t="str">
        <f>IFERROR(MID(VLOOKUP($B150,Seqs!$A:$B,2,0),AU150,1),"")</f>
        <v>F</v>
      </c>
      <c r="AU150" s="3">
        <v>304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L</v>
      </c>
      <c r="AY150" s="3">
        <v>317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si="1008"/>
        <v>1</v>
      </c>
      <c r="BC150" s="23">
        <f t="shared" si="785"/>
        <v>252</v>
      </c>
      <c r="BD150" s="5"/>
      <c r="BE150" s="3" t="s">
        <v>1368</v>
      </c>
      <c r="BF150" s="118">
        <v>2.9</v>
      </c>
      <c r="BG150" s="49" t="s">
        <v>1371</v>
      </c>
      <c r="BH150" s="49" t="s">
        <v>1371</v>
      </c>
      <c r="BI150" s="1"/>
      <c r="BJ150" s="70" t="s">
        <v>1281</v>
      </c>
      <c r="BK150" s="57" t="s">
        <v>1281</v>
      </c>
      <c r="BL150" s="57" t="s">
        <v>1281</v>
      </c>
      <c r="BM150" s="57" t="s">
        <v>1281</v>
      </c>
      <c r="BN150" s="57" t="s">
        <v>1281</v>
      </c>
      <c r="BO150" s="57" t="s">
        <v>1281</v>
      </c>
      <c r="BP150" s="57" t="s">
        <v>1281</v>
      </c>
      <c r="BQ150" s="57" t="s">
        <v>1281</v>
      </c>
      <c r="BR150" s="57" t="s">
        <v>1281</v>
      </c>
      <c r="BS150" s="57" t="s">
        <v>1281</v>
      </c>
      <c r="BT150" s="57" t="s">
        <v>1281</v>
      </c>
      <c r="BU150" s="57" t="s">
        <v>1281</v>
      </c>
      <c r="BV150" s="70">
        <f t="shared" si="786"/>
        <v>26</v>
      </c>
      <c r="BW150" s="71">
        <f t="shared" si="787"/>
        <v>57</v>
      </c>
      <c r="BX150" s="72">
        <f t="shared" si="788"/>
        <v>61</v>
      </c>
      <c r="BY150" s="71">
        <f t="shared" si="789"/>
        <v>93</v>
      </c>
      <c r="BZ150" s="72">
        <f t="shared" si="790"/>
        <v>97</v>
      </c>
      <c r="CA150" s="71" t="str">
        <f t="shared" si="791"/>
        <v>-</v>
      </c>
      <c r="CB150" s="72">
        <f t="shared" si="792"/>
        <v>137</v>
      </c>
      <c r="CC150" s="71">
        <f t="shared" si="793"/>
        <v>180</v>
      </c>
      <c r="CD150" s="72">
        <f t="shared" si="794"/>
        <v>191</v>
      </c>
      <c r="CE150" s="71">
        <f t="shared" si="795"/>
        <v>235</v>
      </c>
      <c r="CF150" s="72">
        <f t="shared" si="796"/>
        <v>273</v>
      </c>
      <c r="CG150" s="71">
        <f t="shared" si="797"/>
        <v>306</v>
      </c>
      <c r="CH150" s="70">
        <f t="shared" si="798"/>
        <v>56</v>
      </c>
      <c r="CI150" s="71">
        <f t="shared" si="799"/>
        <v>60</v>
      </c>
      <c r="CJ150" s="72">
        <f t="shared" si="800"/>
        <v>91</v>
      </c>
      <c r="CK150" s="72">
        <f t="shared" si="801"/>
        <v>96</v>
      </c>
      <c r="CL150" s="72">
        <f t="shared" si="802"/>
        <v>132</v>
      </c>
      <c r="CM150" s="72" t="str">
        <f t="shared" si="803"/>
        <v>-</v>
      </c>
      <c r="CN150" s="72">
        <f t="shared" si="804"/>
        <v>167</v>
      </c>
      <c r="CO150" s="72">
        <f t="shared" si="805"/>
        <v>182</v>
      </c>
      <c r="CP150" s="72">
        <f t="shared" si="806"/>
        <v>222</v>
      </c>
      <c r="CQ150" s="72">
        <f t="shared" si="807"/>
        <v>269</v>
      </c>
      <c r="CR150" s="72">
        <f t="shared" si="808"/>
        <v>304</v>
      </c>
      <c r="CS150" s="72">
        <f t="shared" si="809"/>
        <v>317</v>
      </c>
      <c r="CT150" s="23">
        <f t="shared" si="810"/>
        <v>1</v>
      </c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</row>
    <row r="151" spans="1:1029" x14ac:dyDescent="0.2">
      <c r="A151" s="3" t="str">
        <f t="shared" si="1007"/>
        <v>agtr1_human_4ZUD</v>
      </c>
      <c r="B151" s="3" t="s">
        <v>158</v>
      </c>
      <c r="C151" s="3" t="s">
        <v>1330</v>
      </c>
      <c r="D151" s="3" t="str">
        <f>IFERROR(MID(VLOOKUP($B151,Seqs!$A:$B,2,0),E151,1),"")</f>
        <v>H</v>
      </c>
      <c r="E151" s="3">
        <v>24</v>
      </c>
      <c r="F151" s="3" t="str">
        <f>IFERROR(MID(VLOOKUP($B151,Seqs!$A:$B,2,0),G151,1),"")</f>
        <v>Y</v>
      </c>
      <c r="G151" s="3">
        <v>56</v>
      </c>
      <c r="H151" s="3" t="str">
        <f>IFERROR(MID(VLOOKUP($B151,Seqs!$A:$B,2,0),I151,1),"")</f>
        <v>M</v>
      </c>
      <c r="I151" s="23">
        <v>57</v>
      </c>
      <c r="J151" s="3" t="str">
        <f>IFERROR(MID(VLOOKUP($B151,Seqs!$A:$B,2,0),K151,1),"")</f>
        <v>K</v>
      </c>
      <c r="K151" s="23">
        <v>60</v>
      </c>
      <c r="L151" s="3" t="str">
        <f>IFERROR(MID(VLOOKUP($B151,Seqs!$A:$B,2,0),M151,1),"")</f>
        <v>T</v>
      </c>
      <c r="M151" s="3">
        <v>61</v>
      </c>
      <c r="N151" s="3" t="str">
        <f>IFERROR(MID(VLOOKUP($B151,Seqs!$A:$B,2,0),O151,1),"")</f>
        <v>E</v>
      </c>
      <c r="O151" s="3">
        <v>91</v>
      </c>
      <c r="P151" s="3" t="str">
        <f>IFERROR(MID(VLOOKUP($B151,Seqs!$A:$B,2,0),Q151,1),"")</f>
        <v>R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M</v>
      </c>
      <c r="AC151" s="9">
        <v>142</v>
      </c>
      <c r="AD151" s="3" t="str">
        <f>IFERROR(MID(VLOOKUP($B151,Seqs!$A:$B,2,0),AE151,1),"")</f>
        <v>R</v>
      </c>
      <c r="AE151" s="3">
        <v>167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F</v>
      </c>
      <c r="AI151" s="3">
        <v>182</v>
      </c>
      <c r="AJ151" s="3" t="str">
        <f>IFERROR(MID(VLOOKUP($B151,Seqs!$A:$B,2,0),AK151,1),"")</f>
        <v>L</v>
      </c>
      <c r="AK151" s="3">
        <v>191</v>
      </c>
      <c r="AL151" s="3" t="str">
        <f>IFERROR(MID(VLOOKUP($B151,Seqs!$A:$B,2,0),AM151,1),"")</f>
        <v>L</v>
      </c>
      <c r="AM151" s="3">
        <v>222</v>
      </c>
      <c r="AN151" s="3" t="str">
        <f>IFERROR(MID(VLOOKUP($B151,Seqs!$A:$B,2,0),AO151,1),"")</f>
        <v>D</v>
      </c>
      <c r="AO151" s="3">
        <v>236</v>
      </c>
      <c r="AP151" s="3" t="str">
        <f>IFERROR(MID(VLOOKUP($B151,Seqs!$A:$B,2,0),AQ151,1),"")</f>
        <v>G</v>
      </c>
      <c r="AQ151" s="3">
        <v>269</v>
      </c>
      <c r="AR151" s="3" t="str">
        <f>IFERROR(MID(VLOOKUP($B151,Seqs!$A:$B,2,0),AS151,1),"")</f>
        <v>D</v>
      </c>
      <c r="AS151" s="3">
        <v>273</v>
      </c>
      <c r="AT151" s="3" t="str">
        <f>IFERROR(MID(VLOOKUP($B151,Seqs!$A:$B,2,0),AU151,1),"")</f>
        <v>F</v>
      </c>
      <c r="AU151" s="3">
        <v>304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Angiotensin</v>
      </c>
      <c r="BB151" s="27" t="b">
        <f t="shared" si="1008"/>
        <v>1</v>
      </c>
      <c r="BC151" s="23">
        <f t="shared" si="785"/>
        <v>237</v>
      </c>
      <c r="BD151" s="2" t="s">
        <v>1370</v>
      </c>
      <c r="BE151" s="3" t="s">
        <v>1368</v>
      </c>
      <c r="BF151" s="118">
        <v>2.8</v>
      </c>
      <c r="BG151" s="49" t="s">
        <v>1371</v>
      </c>
      <c r="BH151" s="49" t="s">
        <v>1371</v>
      </c>
      <c r="BI151" s="1"/>
      <c r="BJ151" s="70" t="s">
        <v>1281</v>
      </c>
      <c r="BK151" s="57" t="s">
        <v>1281</v>
      </c>
      <c r="BL151" s="57" t="s">
        <v>1281</v>
      </c>
      <c r="BM151" s="57" t="s">
        <v>1281</v>
      </c>
      <c r="BN151" s="57" t="s">
        <v>1281</v>
      </c>
      <c r="BO151" s="57" t="s">
        <v>1281</v>
      </c>
      <c r="BP151" s="57" t="s">
        <v>1281</v>
      </c>
      <c r="BQ151" s="57" t="s">
        <v>1281</v>
      </c>
      <c r="BR151" s="57" t="s">
        <v>1281</v>
      </c>
      <c r="BS151" s="57" t="s">
        <v>1281</v>
      </c>
      <c r="BT151" s="57" t="s">
        <v>1281</v>
      </c>
      <c r="BU151" s="57" t="s">
        <v>1281</v>
      </c>
      <c r="BV151" s="70">
        <f t="shared" si="786"/>
        <v>24</v>
      </c>
      <c r="BW151" s="71">
        <f t="shared" si="787"/>
        <v>57</v>
      </c>
      <c r="BX151" s="72">
        <f t="shared" si="788"/>
        <v>61</v>
      </c>
      <c r="BY151" s="71">
        <f t="shared" si="789"/>
        <v>93</v>
      </c>
      <c r="BZ151" s="72">
        <f t="shared" si="790"/>
        <v>97</v>
      </c>
      <c r="CA151" s="71" t="str">
        <f t="shared" si="791"/>
        <v>-</v>
      </c>
      <c r="CB151" s="72">
        <f t="shared" si="792"/>
        <v>142</v>
      </c>
      <c r="CC151" s="71">
        <f t="shared" si="793"/>
        <v>180</v>
      </c>
      <c r="CD151" s="72">
        <f t="shared" si="794"/>
        <v>191</v>
      </c>
      <c r="CE151" s="71">
        <f t="shared" si="795"/>
        <v>236</v>
      </c>
      <c r="CF151" s="72">
        <f t="shared" si="796"/>
        <v>273</v>
      </c>
      <c r="CG151" s="71" t="str">
        <f t="shared" si="797"/>
        <v>-</v>
      </c>
      <c r="CH151" s="70">
        <f t="shared" si="798"/>
        <v>56</v>
      </c>
      <c r="CI151" s="71">
        <f t="shared" si="799"/>
        <v>60</v>
      </c>
      <c r="CJ151" s="72">
        <f t="shared" si="800"/>
        <v>91</v>
      </c>
      <c r="CK151" s="72">
        <f t="shared" si="801"/>
        <v>96</v>
      </c>
      <c r="CL151" s="72">
        <f t="shared" si="802"/>
        <v>132</v>
      </c>
      <c r="CM151" s="72" t="str">
        <f t="shared" si="803"/>
        <v>-</v>
      </c>
      <c r="CN151" s="72">
        <f t="shared" si="804"/>
        <v>167</v>
      </c>
      <c r="CO151" s="72">
        <f t="shared" si="805"/>
        <v>182</v>
      </c>
      <c r="CP151" s="72">
        <f t="shared" si="806"/>
        <v>222</v>
      </c>
      <c r="CQ151" s="72">
        <f t="shared" si="807"/>
        <v>269</v>
      </c>
      <c r="CR151" s="72">
        <f t="shared" si="808"/>
        <v>304</v>
      </c>
      <c r="CS151" s="72" t="str">
        <f t="shared" si="809"/>
        <v>-</v>
      </c>
      <c r="CT151" s="23">
        <f t="shared" si="81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s="12" customFormat="1" x14ac:dyDescent="0.2">
      <c r="A152" s="9" t="str">
        <f t="shared" ref="A152" si="1064">CONCATENATE(B152,"_",C152)</f>
        <v>agtr1_human_6DO1</v>
      </c>
      <c r="B152" s="9" t="s">
        <v>158</v>
      </c>
      <c r="C152" s="9" t="s">
        <v>1549</v>
      </c>
      <c r="D152" s="9" t="str">
        <f>IFERROR(MID(VLOOKUP($B152,Seqs!$A:$B,2,0),E152,1),"")</f>
        <v>H</v>
      </c>
      <c r="E152" s="9">
        <v>24</v>
      </c>
      <c r="F152" s="9" t="str">
        <f>IFERROR(MID(VLOOKUP($B152,Seqs!$A:$B,2,0),G152,1),"")</f>
        <v>Y</v>
      </c>
      <c r="G152" s="9">
        <v>56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T</v>
      </c>
      <c r="M152" s="9">
        <v>61</v>
      </c>
      <c r="N152" s="9" t="str">
        <f>IFERROR(MID(VLOOKUP($B152,Seqs!$A:$B,2,0),O152,1),"")</f>
        <v>E</v>
      </c>
      <c r="O152" s="9">
        <v>91</v>
      </c>
      <c r="P152" s="9" t="str">
        <f>IFERROR(MID(VLOOKUP($B152,Seqs!$A:$B,2,0),Q152,1),"")</f>
        <v>R</v>
      </c>
      <c r="Q152" s="9">
        <v>93</v>
      </c>
      <c r="R152" s="9" t="str">
        <f>IFERROR(MID(VLOOKUP($B152,Seqs!$A:$B,2,0),S152,1),"")</f>
        <v>F</v>
      </c>
      <c r="S152" s="9">
        <v>96</v>
      </c>
      <c r="T152" s="9" t="str">
        <f>IFERROR(MID(VLOOKUP($B152,Seqs!$A:$B,2,0),U152,1),"")</f>
        <v>G</v>
      </c>
      <c r="U152" s="9">
        <v>97</v>
      </c>
      <c r="V152" s="9" t="str">
        <f>IFERROR(MID(VLOOKUP($B152,Seqs!$A:$B,2,0),W152,1),"")</f>
        <v>H</v>
      </c>
      <c r="W152" s="9">
        <v>132</v>
      </c>
      <c r="X152" s="9" t="str">
        <f>IFERROR(MID(VLOOKUP($B152,Seqs!$A:$B,2,0),Y152,1),"")</f>
        <v>P</v>
      </c>
      <c r="Y152" s="9">
        <v>133</v>
      </c>
      <c r="Z152" s="9" t="str">
        <f>IFERROR(MID(VLOOKUP($B152,Seqs!$A:$B,2,0),AA152,1),"")</f>
        <v>R</v>
      </c>
      <c r="AA152" s="9">
        <v>140</v>
      </c>
      <c r="AB152" s="9" t="str">
        <f>IFERROR(MID(VLOOKUP($B152,Seqs!$A:$B,2,0),AC152,1),"")</f>
        <v>T</v>
      </c>
      <c r="AC152" s="9">
        <v>141</v>
      </c>
      <c r="AD152" s="9" t="str">
        <f>IFERROR(MID(VLOOKUP($B152,Seqs!$A:$B,2,0),AE152,1),"")</f>
        <v>R</v>
      </c>
      <c r="AE152" s="9">
        <v>167</v>
      </c>
      <c r="AF152" s="9" t="str">
        <f>IFERROR(MID(VLOOKUP($B152,Seqs!$A:$B,2,0),AG152,1),"")</f>
        <v>C</v>
      </c>
      <c r="AG152" s="9">
        <v>180</v>
      </c>
      <c r="AH152" s="9" t="str">
        <f>IFERROR(MID(VLOOKUP($B152,Seqs!$A:$B,2,0),AI152,1),"")</f>
        <v>F</v>
      </c>
      <c r="AI152" s="9">
        <v>182</v>
      </c>
      <c r="AJ152" s="9" t="str">
        <f>IFERROR(MID(VLOOKUP($B152,Seqs!$A:$B,2,0),AK152,1),"")</f>
        <v>P</v>
      </c>
      <c r="AK152" s="9">
        <v>192</v>
      </c>
      <c r="AL152" s="9" t="str">
        <f>IFERROR(MID(VLOOKUP($B152,Seqs!$A:$B,2,0),AM152,1),"")</f>
        <v>N</v>
      </c>
      <c r="AM152" s="9">
        <v>231</v>
      </c>
      <c r="AN152" s="9" t="str">
        <f>IFERROR(MID(VLOOKUP($B152,Seqs!$A:$B,2,0),AO152,1),"")</f>
        <v>T</v>
      </c>
      <c r="AO152" s="9">
        <v>336</v>
      </c>
      <c r="AP152" s="9" t="str">
        <f>IFERROR(MID(VLOOKUP($B152,Seqs!$A:$B,2,0),AQ152,1),"")</f>
        <v/>
      </c>
      <c r="AQ152" s="9">
        <v>368</v>
      </c>
      <c r="AR152" s="9" t="str">
        <f>IFERROR(MID(VLOOKUP($B152,Seqs!$A:$B,2,0),AS152,1),"")</f>
        <v/>
      </c>
      <c r="AS152" s="9">
        <v>372</v>
      </c>
      <c r="AT152" s="9" t="str">
        <f>IFERROR(MID(VLOOKUP($B152,Seqs!$A:$B,2,0),AU152,1),"")</f>
        <v/>
      </c>
      <c r="AU152" s="9">
        <v>404</v>
      </c>
      <c r="AV152" s="9" t="str">
        <f>IFERROR(MID(VLOOKUP($B152,Seqs!$A:$B,2,0),AW152,1),"")</f>
        <v/>
      </c>
      <c r="AW152" s="9">
        <v>405</v>
      </c>
      <c r="AX152" s="9" t="str">
        <f>IFERROR(MID(VLOOKUP($B152,Seqs!$A:$B,2,0),AY152,1),"")</f>
        <v/>
      </c>
      <c r="AY152" s="9">
        <v>416</v>
      </c>
      <c r="AZ152" s="110" t="str">
        <f>VLOOKUP(B152,Classification!A:D,2,0)</f>
        <v>A</v>
      </c>
      <c r="BA152" s="98" t="str">
        <f>VLOOKUP(B152,Classification!A:D,4,0)</f>
        <v>Angiotensin</v>
      </c>
      <c r="BB152" s="36" t="b">
        <f t="shared" ref="BB152" si="1065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 t="shared" ref="BC152" si="1066">_xlfn.AGGREGATE(9,6,CH152:CS152)-_xlfn.AGGREGATE(9,6,BV152:CG152)+12</f>
        <v>261</v>
      </c>
      <c r="BD152" s="40" t="s">
        <v>1369</v>
      </c>
      <c r="BE152" s="9" t="s">
        <v>1285</v>
      </c>
      <c r="BF152" s="119">
        <v>2.9</v>
      </c>
      <c r="BG152" s="51" t="s">
        <v>1</v>
      </c>
      <c r="BH152" s="51" t="s">
        <v>1</v>
      </c>
      <c r="BJ152" s="111" t="s">
        <v>1281</v>
      </c>
      <c r="BK152" s="112" t="s">
        <v>1281</v>
      </c>
      <c r="BL152" s="112" t="s">
        <v>1281</v>
      </c>
      <c r="BM152" s="112" t="s">
        <v>1281</v>
      </c>
      <c r="BN152" s="112" t="s">
        <v>1281</v>
      </c>
      <c r="BO152" s="112" t="s">
        <v>1281</v>
      </c>
      <c r="BP152" s="112" t="s">
        <v>1281</v>
      </c>
      <c r="BQ152" s="112" t="s">
        <v>1281</v>
      </c>
      <c r="BR152" s="112" t="s">
        <v>1281</v>
      </c>
      <c r="BS152" s="112" t="s">
        <v>1281</v>
      </c>
      <c r="BT152" s="112" t="s">
        <v>1281</v>
      </c>
      <c r="BU152" s="112" t="s">
        <v>1281</v>
      </c>
      <c r="BV152" s="111">
        <f t="shared" ref="BV152" si="1067">E152</f>
        <v>24</v>
      </c>
      <c r="BW152" s="113" t="str">
        <f t="shared" ref="BW152" si="1068">I152</f>
        <v>-</v>
      </c>
      <c r="BX152" s="114">
        <f t="shared" ref="BX152" si="1069">M152</f>
        <v>61</v>
      </c>
      <c r="BY152" s="113">
        <f t="shared" ref="BY152" si="1070">Q152</f>
        <v>93</v>
      </c>
      <c r="BZ152" s="114">
        <f t="shared" ref="BZ152" si="1071">U152</f>
        <v>97</v>
      </c>
      <c r="CA152" s="113">
        <f t="shared" ref="CA152" si="1072">Y152</f>
        <v>133</v>
      </c>
      <c r="CB152" s="114">
        <f t="shared" ref="CB152" si="1073">AC152</f>
        <v>141</v>
      </c>
      <c r="CC152" s="113">
        <f t="shared" ref="CC152" si="1074">AG152</f>
        <v>180</v>
      </c>
      <c r="CD152" s="114">
        <f t="shared" ref="CD152" si="1075">AK152</f>
        <v>192</v>
      </c>
      <c r="CE152" s="113">
        <f t="shared" ref="CE152" si="1076">AO152</f>
        <v>336</v>
      </c>
      <c r="CF152" s="114">
        <f t="shared" ref="CF152" si="1077">AS152</f>
        <v>372</v>
      </c>
      <c r="CG152" s="113">
        <f t="shared" ref="CG152" si="1078">AW152</f>
        <v>405</v>
      </c>
      <c r="CH152" s="111">
        <f t="shared" ref="CH152" si="1079">G152</f>
        <v>56</v>
      </c>
      <c r="CI152" s="113" t="str">
        <f t="shared" ref="CI152" si="1080">K152</f>
        <v>-</v>
      </c>
      <c r="CJ152" s="114">
        <f t="shared" ref="CJ152" si="1081">O152</f>
        <v>91</v>
      </c>
      <c r="CK152" s="114">
        <f t="shared" ref="CK152" si="1082">S152</f>
        <v>96</v>
      </c>
      <c r="CL152" s="114">
        <f t="shared" ref="CL152" si="1083">W152</f>
        <v>132</v>
      </c>
      <c r="CM152" s="114">
        <f t="shared" ref="CM152" si="1084">AA152</f>
        <v>140</v>
      </c>
      <c r="CN152" s="114">
        <f t="shared" ref="CN152" si="1085">AE152</f>
        <v>167</v>
      </c>
      <c r="CO152" s="114">
        <f t="shared" ref="CO152" si="1086">AI152</f>
        <v>182</v>
      </c>
      <c r="CP152" s="114">
        <f t="shared" ref="CP152" si="1087">AM152</f>
        <v>231</v>
      </c>
      <c r="CQ152" s="114">
        <f t="shared" ref="CQ152" si="1088">AQ152</f>
        <v>368</v>
      </c>
      <c r="CR152" s="114">
        <f t="shared" ref="CR152" si="1089">AU152</f>
        <v>404</v>
      </c>
      <c r="CS152" s="114">
        <f t="shared" ref="CS152" si="1090">AY152</f>
        <v>416</v>
      </c>
      <c r="CT152" s="109" t="e">
        <f t="shared" ref="CT152" si="1091">M152-K152</f>
        <v>#VALUE!</v>
      </c>
    </row>
    <row r="153" spans="1:1029" s="12" customFormat="1" x14ac:dyDescent="0.2">
      <c r="A153" s="9" t="str">
        <f t="shared" ref="A153" si="1092">CONCATENATE(B153,"_",C153)</f>
        <v>agtr1_human_6OS0</v>
      </c>
      <c r="B153" s="9" t="s">
        <v>158</v>
      </c>
      <c r="C153" s="9" t="s">
        <v>1653</v>
      </c>
      <c r="D153" s="9" t="str">
        <f>IFERROR(MID(VLOOKUP($B153,Seqs!$A:$B,2,0),E153,1),"")</f>
        <v>H</v>
      </c>
      <c r="E153" s="9">
        <v>24</v>
      </c>
      <c r="F153" s="9" t="str">
        <f>IFERROR(MID(VLOOKUP($B153,Seqs!$A:$B,2,0),G153,1),"")</f>
        <v>Y</v>
      </c>
      <c r="G153" s="9">
        <v>56</v>
      </c>
      <c r="H153" s="9" t="str">
        <f>IFERROR(MID(VLOOKUP($B153,Seqs!$A:$B,2,0),I153,1),"")</f>
        <v/>
      </c>
      <c r="I153" s="109" t="s">
        <v>23</v>
      </c>
      <c r="J153" s="9" t="str">
        <f>IFERROR(MID(VLOOKUP($B153,Seqs!$A:$B,2,0),K153,1),"")</f>
        <v/>
      </c>
      <c r="K153" s="109" t="s">
        <v>23</v>
      </c>
      <c r="L153" s="9" t="str">
        <f>IFERROR(MID(VLOOKUP($B153,Seqs!$A:$B,2,0),M153,1),"")</f>
        <v>T</v>
      </c>
      <c r="M153" s="9">
        <v>61</v>
      </c>
      <c r="N153" s="9" t="str">
        <f>IFERROR(MID(VLOOKUP($B153,Seqs!$A:$B,2,0),O153,1),"")</f>
        <v>E</v>
      </c>
      <c r="O153" s="9">
        <v>91</v>
      </c>
      <c r="P153" s="9" t="str">
        <f>IFERROR(MID(VLOOKUP($B153,Seqs!$A:$B,2,0),Q153,1),"")</f>
        <v>R</v>
      </c>
      <c r="Q153" s="9">
        <v>93</v>
      </c>
      <c r="R153" s="9" t="str">
        <f>IFERROR(MID(VLOOKUP($B153,Seqs!$A:$B,2,0),S153,1),"")</f>
        <v>F</v>
      </c>
      <c r="S153" s="9">
        <v>96</v>
      </c>
      <c r="T153" s="9" t="str">
        <f>IFERROR(MID(VLOOKUP($B153,Seqs!$A:$B,2,0),U153,1),"")</f>
        <v>G</v>
      </c>
      <c r="U153" s="9">
        <v>97</v>
      </c>
      <c r="V153" s="9" t="str">
        <f>IFERROR(MID(VLOOKUP($B153,Seqs!$A:$B,2,0),W153,1),"")</f>
        <v>H</v>
      </c>
      <c r="W153" s="9">
        <v>132</v>
      </c>
      <c r="X153" s="9" t="str">
        <f>IFERROR(MID(VLOOKUP($B153,Seqs!$A:$B,2,0),Y153,1),"")</f>
        <v>P</v>
      </c>
      <c r="Y153" s="9">
        <v>133</v>
      </c>
      <c r="Z153" s="9" t="str">
        <f>IFERROR(MID(VLOOKUP($B153,Seqs!$A:$B,2,0),AA153,1),"")</f>
        <v>R</v>
      </c>
      <c r="AA153" s="9">
        <v>140</v>
      </c>
      <c r="AB153" s="9" t="str">
        <f>IFERROR(MID(VLOOKUP($B153,Seqs!$A:$B,2,0),AC153,1),"")</f>
        <v>T</v>
      </c>
      <c r="AC153" s="9">
        <v>141</v>
      </c>
      <c r="AD153" s="9" t="str">
        <f>IFERROR(MID(VLOOKUP($B153,Seqs!$A:$B,2,0),AE153,1),"")</f>
        <v>H</v>
      </c>
      <c r="AE153" s="9">
        <v>166</v>
      </c>
      <c r="AF153" s="9" t="str">
        <f>IFERROR(MID(VLOOKUP($B153,Seqs!$A:$B,2,0),AG153,1),"")</f>
        <v>C</v>
      </c>
      <c r="AG153" s="9">
        <v>180</v>
      </c>
      <c r="AH153" s="9" t="str">
        <f>IFERROR(MID(VLOOKUP($B153,Seqs!$A:$B,2,0),AI153,1),"")</f>
        <v>F</v>
      </c>
      <c r="AI153" s="9">
        <v>182</v>
      </c>
      <c r="AJ153" s="9" t="str">
        <f>IFERROR(MID(VLOOKUP($B153,Seqs!$A:$B,2,0),AK153,1),"")</f>
        <v>I</v>
      </c>
      <c r="AK153" s="9">
        <v>193</v>
      </c>
      <c r="AL153" s="9" t="str">
        <f>IFERROR(MID(VLOOKUP($B153,Seqs!$A:$B,2,0),AM153,1),"")</f>
        <v>Y</v>
      </c>
      <c r="AM153" s="9">
        <v>226</v>
      </c>
      <c r="AN153" s="9" t="str">
        <f>IFERROR(MID(VLOOKUP($B153,Seqs!$A:$B,2,0),AO153,1),"")</f>
        <v/>
      </c>
      <c r="AO153" s="9">
        <v>1237</v>
      </c>
      <c r="AP153" s="9" t="str">
        <f>IFERROR(MID(VLOOKUP($B153,Seqs!$A:$B,2,0),AQ153,1),"")</f>
        <v/>
      </c>
      <c r="AQ153" s="9">
        <v>1268</v>
      </c>
      <c r="AR153" s="9" t="str">
        <f>IFERROR(MID(VLOOKUP($B153,Seqs!$A:$B,2,0),AS153,1),"")</f>
        <v/>
      </c>
      <c r="AS153" s="9">
        <v>1273</v>
      </c>
      <c r="AT153" s="9" t="str">
        <f>IFERROR(MID(VLOOKUP($B153,Seqs!$A:$B,2,0),AU153,1),"")</f>
        <v/>
      </c>
      <c r="AU153" s="9">
        <v>1305</v>
      </c>
      <c r="AV153" s="9" t="str">
        <f>IFERROR(MID(VLOOKUP($B153,Seqs!$A:$B,2,0),AW153,1),"")</f>
        <v/>
      </c>
      <c r="AW153" s="9">
        <v>1306</v>
      </c>
      <c r="AX153" s="9" t="str">
        <f>IFERROR(MID(VLOOKUP($B153,Seqs!$A:$B,2,0),AY153,1),"")</f>
        <v/>
      </c>
      <c r="AY153" s="9">
        <v>1316</v>
      </c>
      <c r="AZ153" s="110" t="str">
        <f>VLOOKUP(B153,Classification!A:D,2,0)</f>
        <v>A</v>
      </c>
      <c r="BA153" s="98" t="str">
        <f>VLOOKUP(B153,Classification!A:D,4,0)</f>
        <v>Angiotensin</v>
      </c>
      <c r="BB153" s="36" t="b">
        <f t="shared" ref="BB153" si="1093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109">
        <f t="shared" ref="BC153" si="1094">_xlfn.AGGREGATE(9,6,CH153:CS153)-_xlfn.AGGREGATE(9,6,BV153:CG153)+12</f>
        <v>252</v>
      </c>
      <c r="BD153" s="40" t="s">
        <v>23</v>
      </c>
      <c r="BE153" s="9" t="s">
        <v>1285</v>
      </c>
      <c r="BF153" s="119">
        <v>2.9</v>
      </c>
      <c r="BG153" s="51" t="s">
        <v>1</v>
      </c>
      <c r="BH153" s="51" t="s">
        <v>1</v>
      </c>
      <c r="BJ153" s="111" t="s">
        <v>1281</v>
      </c>
      <c r="BK153" s="112" t="s">
        <v>1281</v>
      </c>
      <c r="BL153" s="112" t="s">
        <v>1281</v>
      </c>
      <c r="BM153" s="112" t="s">
        <v>1281</v>
      </c>
      <c r="BN153" s="112" t="s">
        <v>1281</v>
      </c>
      <c r="BO153" s="112" t="s">
        <v>1281</v>
      </c>
      <c r="BP153" s="112" t="s">
        <v>1281</v>
      </c>
      <c r="BQ153" s="112" t="s">
        <v>1281</v>
      </c>
      <c r="BR153" s="112" t="s">
        <v>1281</v>
      </c>
      <c r="BS153" s="112" t="s">
        <v>1281</v>
      </c>
      <c r="BT153" s="112" t="s">
        <v>1281</v>
      </c>
      <c r="BU153" s="112" t="s">
        <v>1281</v>
      </c>
      <c r="BV153" s="111">
        <f t="shared" ref="BV153" si="1095">E153</f>
        <v>24</v>
      </c>
      <c r="BW153" s="113" t="str">
        <f t="shared" ref="BW153" si="1096">I153</f>
        <v>-</v>
      </c>
      <c r="BX153" s="114">
        <f t="shared" ref="BX153" si="1097">M153</f>
        <v>61</v>
      </c>
      <c r="BY153" s="113">
        <f t="shared" ref="BY153" si="1098">Q153</f>
        <v>93</v>
      </c>
      <c r="BZ153" s="114">
        <f t="shared" ref="BZ153" si="1099">U153</f>
        <v>97</v>
      </c>
      <c r="CA153" s="113">
        <f t="shared" ref="CA153" si="1100">Y153</f>
        <v>133</v>
      </c>
      <c r="CB153" s="114">
        <f t="shared" ref="CB153" si="1101">AC153</f>
        <v>141</v>
      </c>
      <c r="CC153" s="113">
        <f t="shared" ref="CC153" si="1102">AG153</f>
        <v>180</v>
      </c>
      <c r="CD153" s="114">
        <f t="shared" ref="CD153" si="1103">AK153</f>
        <v>193</v>
      </c>
      <c r="CE153" s="113">
        <f t="shared" ref="CE153" si="1104">AO153</f>
        <v>1237</v>
      </c>
      <c r="CF153" s="114">
        <f t="shared" ref="CF153" si="1105">AS153</f>
        <v>1273</v>
      </c>
      <c r="CG153" s="113">
        <f t="shared" ref="CG153" si="1106">AW153</f>
        <v>1306</v>
      </c>
      <c r="CH153" s="111">
        <f t="shared" ref="CH153" si="1107">G153</f>
        <v>56</v>
      </c>
      <c r="CI153" s="113" t="str">
        <f t="shared" ref="CI153" si="1108">K153</f>
        <v>-</v>
      </c>
      <c r="CJ153" s="114">
        <f t="shared" ref="CJ153" si="1109">O153</f>
        <v>91</v>
      </c>
      <c r="CK153" s="114">
        <f t="shared" ref="CK153" si="1110">S153</f>
        <v>96</v>
      </c>
      <c r="CL153" s="114">
        <f t="shared" ref="CL153" si="1111">W153</f>
        <v>132</v>
      </c>
      <c r="CM153" s="114">
        <f t="shared" ref="CM153" si="1112">AA153</f>
        <v>140</v>
      </c>
      <c r="CN153" s="114">
        <f t="shared" ref="CN153" si="1113">AE153</f>
        <v>166</v>
      </c>
      <c r="CO153" s="114">
        <f t="shared" ref="CO153" si="1114">AI153</f>
        <v>182</v>
      </c>
      <c r="CP153" s="114">
        <f t="shared" ref="CP153" si="1115">AM153</f>
        <v>226</v>
      </c>
      <c r="CQ153" s="114">
        <f t="shared" ref="CQ153" si="1116">AQ153</f>
        <v>1268</v>
      </c>
      <c r="CR153" s="114">
        <f t="shared" ref="CR153" si="1117">AU153</f>
        <v>1305</v>
      </c>
      <c r="CS153" s="114">
        <f t="shared" ref="CS153" si="1118">AY153</f>
        <v>1316</v>
      </c>
      <c r="CT153" s="109" t="e">
        <f t="shared" ref="CT153" si="1119">M153-K153</f>
        <v>#VALUE!</v>
      </c>
    </row>
    <row r="154" spans="1:1029" s="12" customFormat="1" ht="18" x14ac:dyDescent="0.2">
      <c r="A154" s="9" t="str">
        <f t="shared" ref="A154" si="1120">CONCATENATE(B154,"_",C154)</f>
        <v>agtr1_human_6OS1</v>
      </c>
      <c r="B154" s="9" t="s">
        <v>158</v>
      </c>
      <c r="C154" s="9" t="s">
        <v>1654</v>
      </c>
      <c r="D154" s="9" t="str">
        <f>IFERROR(MID(VLOOKUP($B154,Seqs!$A:$B,2,0),E154,1),"")</f>
        <v>H</v>
      </c>
      <c r="E154" s="9">
        <v>24</v>
      </c>
      <c r="F154" s="9" t="str">
        <f>IFERROR(MID(VLOOKUP($B154,Seqs!$A:$B,2,0),G154,1),"")</f>
        <v>Y</v>
      </c>
      <c r="G154" s="9">
        <v>56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T</v>
      </c>
      <c r="M154" s="9">
        <v>61</v>
      </c>
      <c r="N154" s="9" t="str">
        <f>IFERROR(MID(VLOOKUP($B154,Seqs!$A:$B,2,0),O154,1),"")</f>
        <v>E</v>
      </c>
      <c r="O154" s="9">
        <v>91</v>
      </c>
      <c r="P154" s="9" t="str">
        <f>IFERROR(MID(VLOOKUP($B154,Seqs!$A:$B,2,0),Q154,1),"")</f>
        <v>R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P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H</v>
      </c>
      <c r="AE154" s="9">
        <v>166</v>
      </c>
      <c r="AF154" s="9" t="str">
        <f>IFERROR(MID(VLOOKUP($B154,Seqs!$A:$B,2,0),AG154,1),"")</f>
        <v>C</v>
      </c>
      <c r="AG154" s="9">
        <v>180</v>
      </c>
      <c r="AH154" s="9" t="str">
        <f>IFERROR(MID(VLOOKUP($B154,Seqs!$A:$B,2,0),AI154,1),"")</f>
        <v>F</v>
      </c>
      <c r="AI154" s="9">
        <v>182</v>
      </c>
      <c r="AJ154" s="9" t="str">
        <f>IFERROR(MID(VLOOKUP($B154,Seqs!$A:$B,2,0),AK154,1),"")</f>
        <v>L</v>
      </c>
      <c r="AK154" s="9">
        <v>195</v>
      </c>
      <c r="AL154" s="9" t="str">
        <f>IFERROR(MID(VLOOKUP($B154,Seqs!$A:$B,2,0),AM154,1),"")</f>
        <v>Y</v>
      </c>
      <c r="AM154" s="9">
        <v>226</v>
      </c>
      <c r="AN154" s="9" t="str">
        <f>IFERROR(MID(VLOOKUP($B154,Seqs!$A:$B,2,0),AO154,1),"")</f>
        <v/>
      </c>
      <c r="AO154" s="9">
        <v>1237</v>
      </c>
      <c r="AP154" s="9" t="str">
        <f>IFERROR(MID(VLOOKUP($B154,Seqs!$A:$B,2,0),AQ154,1),"")</f>
        <v/>
      </c>
      <c r="AQ154" s="9">
        <v>1269</v>
      </c>
      <c r="AR154" s="9" t="str">
        <f>IFERROR(MID(VLOOKUP($B154,Seqs!$A:$B,2,0),AS154,1),"")</f>
        <v/>
      </c>
      <c r="AS154" s="9">
        <v>1273</v>
      </c>
      <c r="AT154" s="9" t="str">
        <f>IFERROR(MID(VLOOKUP($B154,Seqs!$A:$B,2,0),AU154,1),"")</f>
        <v/>
      </c>
      <c r="AU154" s="9">
        <v>1305</v>
      </c>
      <c r="AV154" s="9" t="str">
        <f>IFERROR(MID(VLOOKUP($B154,Seqs!$A:$B,2,0),AW154,1),"")</f>
        <v/>
      </c>
      <c r="AW154" s="9">
        <v>1306</v>
      </c>
      <c r="AX154" s="9" t="str">
        <f>IFERROR(MID(VLOOKUP($B154,Seqs!$A:$B,2,0),AY154,1),"")</f>
        <v/>
      </c>
      <c r="AY154" s="9">
        <v>1318</v>
      </c>
      <c r="AZ154" s="110" t="str">
        <f>VLOOKUP(B154,Classification!A:D,2,0)</f>
        <v>A</v>
      </c>
      <c r="BA154" s="98" t="str">
        <f>VLOOKUP(B154,Classification!A:D,4,0)</f>
        <v>Angiotensin</v>
      </c>
      <c r="BB154" s="36" t="b">
        <f t="shared" ref="BB154" si="1121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 t="shared" ref="BC154" si="1122">_xlfn.AGGREGATE(9,6,CH154:CS154)-_xlfn.AGGREGATE(9,6,BV154:CG154)+12</f>
        <v>253</v>
      </c>
      <c r="BD154" s="40" t="s">
        <v>23</v>
      </c>
      <c r="BE154" s="9" t="s">
        <v>1285</v>
      </c>
      <c r="BF154" s="119">
        <v>2.79</v>
      </c>
      <c r="BG154" s="51" t="s">
        <v>1</v>
      </c>
      <c r="BH154" s="51" t="s">
        <v>1</v>
      </c>
      <c r="BI154" s="137"/>
      <c r="BJ154" s="111" t="s">
        <v>1281</v>
      </c>
      <c r="BK154" s="112" t="s">
        <v>1281</v>
      </c>
      <c r="BL154" s="112" t="s">
        <v>1281</v>
      </c>
      <c r="BM154" s="112" t="s">
        <v>1281</v>
      </c>
      <c r="BN154" s="112" t="s">
        <v>1281</v>
      </c>
      <c r="BO154" s="112" t="s">
        <v>1281</v>
      </c>
      <c r="BP154" s="112" t="s">
        <v>1281</v>
      </c>
      <c r="BQ154" s="112" t="s">
        <v>1281</v>
      </c>
      <c r="BR154" s="112" t="s">
        <v>1281</v>
      </c>
      <c r="BS154" s="112" t="s">
        <v>1281</v>
      </c>
      <c r="BT154" s="112" t="s">
        <v>1281</v>
      </c>
      <c r="BU154" s="112" t="s">
        <v>1281</v>
      </c>
      <c r="BV154" s="111">
        <f t="shared" ref="BV154" si="1123">E154</f>
        <v>24</v>
      </c>
      <c r="BW154" s="113" t="str">
        <f t="shared" ref="BW154" si="1124">I154</f>
        <v>-</v>
      </c>
      <c r="BX154" s="114">
        <f t="shared" ref="BX154" si="1125">M154</f>
        <v>61</v>
      </c>
      <c r="BY154" s="113">
        <f t="shared" ref="BY154" si="1126">Q154</f>
        <v>93</v>
      </c>
      <c r="BZ154" s="114">
        <f t="shared" ref="BZ154" si="1127">U154</f>
        <v>97</v>
      </c>
      <c r="CA154" s="113">
        <f t="shared" ref="CA154" si="1128">Y154</f>
        <v>133</v>
      </c>
      <c r="CB154" s="114">
        <f t="shared" ref="CB154" si="1129">AC154</f>
        <v>141</v>
      </c>
      <c r="CC154" s="113">
        <f t="shared" ref="CC154" si="1130">AG154</f>
        <v>180</v>
      </c>
      <c r="CD154" s="114">
        <f t="shared" ref="CD154" si="1131">AK154</f>
        <v>195</v>
      </c>
      <c r="CE154" s="113">
        <f t="shared" ref="CE154" si="1132">AO154</f>
        <v>1237</v>
      </c>
      <c r="CF154" s="114">
        <f t="shared" ref="CF154" si="1133">AS154</f>
        <v>1273</v>
      </c>
      <c r="CG154" s="113">
        <f t="shared" ref="CG154" si="1134">AW154</f>
        <v>1306</v>
      </c>
      <c r="CH154" s="111">
        <f t="shared" ref="CH154" si="1135">G154</f>
        <v>56</v>
      </c>
      <c r="CI154" s="113" t="str">
        <f t="shared" ref="CI154" si="1136">K154</f>
        <v>-</v>
      </c>
      <c r="CJ154" s="114">
        <f t="shared" ref="CJ154" si="1137">O154</f>
        <v>91</v>
      </c>
      <c r="CK154" s="114">
        <f t="shared" ref="CK154" si="1138">S154</f>
        <v>96</v>
      </c>
      <c r="CL154" s="114">
        <f t="shared" ref="CL154" si="1139">W154</f>
        <v>132</v>
      </c>
      <c r="CM154" s="114">
        <f t="shared" ref="CM154" si="1140">AA154</f>
        <v>140</v>
      </c>
      <c r="CN154" s="114">
        <f t="shared" ref="CN154" si="1141">AE154</f>
        <v>166</v>
      </c>
      <c r="CO154" s="114">
        <f t="shared" ref="CO154" si="1142">AI154</f>
        <v>182</v>
      </c>
      <c r="CP154" s="114">
        <f t="shared" ref="CP154" si="1143">AM154</f>
        <v>226</v>
      </c>
      <c r="CQ154" s="114">
        <f t="shared" ref="CQ154" si="1144">AQ154</f>
        <v>1269</v>
      </c>
      <c r="CR154" s="114">
        <f t="shared" ref="CR154" si="1145">AU154</f>
        <v>1305</v>
      </c>
      <c r="CS154" s="114">
        <f t="shared" ref="CS154" si="1146">AY154</f>
        <v>1318</v>
      </c>
      <c r="CT154" s="109" t="e">
        <f t="shared" ref="CT154" si="1147">M154-K154</f>
        <v>#VALUE!</v>
      </c>
    </row>
    <row r="155" spans="1:1029" s="12" customFormat="1" ht="18" x14ac:dyDescent="0.2">
      <c r="A155" s="9" t="str">
        <f t="shared" ref="A155" si="1148">CONCATENATE(B155,"_",C155)</f>
        <v>agtr1_human_6OS2</v>
      </c>
      <c r="B155" s="9" t="s">
        <v>158</v>
      </c>
      <c r="C155" s="9" t="s">
        <v>1655</v>
      </c>
      <c r="D155" s="9" t="str">
        <f>IFERROR(MID(VLOOKUP($B155,Seqs!$A:$B,2,0),E155,1),"")</f>
        <v>N</v>
      </c>
      <c r="E155" s="9">
        <v>25</v>
      </c>
      <c r="F155" s="9" t="str">
        <f>IFERROR(MID(VLOOKUP($B155,Seqs!$A:$B,2,0),G155,1),"")</f>
        <v>M</v>
      </c>
      <c r="G155" s="9">
        <v>57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V</v>
      </c>
      <c r="M155" s="9">
        <v>62</v>
      </c>
      <c r="N155" s="9" t="str">
        <f>IFERROR(MID(VLOOKUP($B155,Seqs!$A:$B,2,0),O155,1),"")</f>
        <v>Y</v>
      </c>
      <c r="O155" s="9">
        <v>92</v>
      </c>
      <c r="P155" s="9" t="str">
        <f>IFERROR(MID(VLOOKUP($B155,Seqs!$A:$B,2,0),Q155,1),"")</f>
        <v>W</v>
      </c>
      <c r="Q155" s="9">
        <v>94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P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H</v>
      </c>
      <c r="AE155" s="9">
        <v>166</v>
      </c>
      <c r="AF155" s="9" t="str">
        <f>IFERROR(MID(VLOOKUP($B155,Seqs!$A:$B,2,0),AG155,1),"")</f>
        <v>C</v>
      </c>
      <c r="AG155" s="9">
        <v>180</v>
      </c>
      <c r="AH155" s="9" t="str">
        <f>IFERROR(MID(VLOOKUP($B155,Seqs!$A:$B,2,0),AI155,1),"")</f>
        <v>F</v>
      </c>
      <c r="AI155" s="9">
        <v>182</v>
      </c>
      <c r="AJ155" s="9" t="str">
        <f>IFERROR(MID(VLOOKUP($B155,Seqs!$A:$B,2,0),AK155,1),"")</f>
        <v>L</v>
      </c>
      <c r="AK155" s="9">
        <v>195</v>
      </c>
      <c r="AL155" s="9" t="str">
        <f>IFERROR(MID(VLOOKUP($B155,Seqs!$A:$B,2,0),AM155,1),"")</f>
        <v>Y</v>
      </c>
      <c r="AM155" s="9">
        <v>226</v>
      </c>
      <c r="AN155" s="9" t="str">
        <f>IFERROR(MID(VLOOKUP($B155,Seqs!$A:$B,2,0),AO155,1),"")</f>
        <v/>
      </c>
      <c r="AO155" s="9">
        <v>1237</v>
      </c>
      <c r="AP155" s="9" t="str">
        <f>IFERROR(MID(VLOOKUP($B155,Seqs!$A:$B,2,0),AQ155,1),"")</f>
        <v/>
      </c>
      <c r="AQ155" s="9">
        <v>1269</v>
      </c>
      <c r="AR155" s="9" t="str">
        <f>IFERROR(MID(VLOOKUP($B155,Seqs!$A:$B,2,0),AS155,1),"")</f>
        <v/>
      </c>
      <c r="AS155" s="9">
        <v>1273</v>
      </c>
      <c r="AT155" s="9" t="str">
        <f>IFERROR(MID(VLOOKUP($B155,Seqs!$A:$B,2,0),AU155,1),"")</f>
        <v/>
      </c>
      <c r="AU155" s="9">
        <v>1305</v>
      </c>
      <c r="AV155" s="9" t="str">
        <f>IFERROR(MID(VLOOKUP($B155,Seqs!$A:$B,2,0),AW155,1),"")</f>
        <v/>
      </c>
      <c r="AW155" s="9">
        <v>1306</v>
      </c>
      <c r="AX155" s="9" t="str">
        <f>IFERROR(MID(VLOOKUP($B155,Seqs!$A:$B,2,0),AY155,1),"")</f>
        <v/>
      </c>
      <c r="AY155" s="9">
        <v>1318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149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150">_xlfn.AGGREGATE(9,6,CH155:CS155)-_xlfn.AGGREGATE(9,6,BV155:CG155)+12</f>
        <v>252</v>
      </c>
      <c r="BD155" s="40" t="s">
        <v>23</v>
      </c>
      <c r="BE155" s="9" t="s">
        <v>1285</v>
      </c>
      <c r="BF155" s="119">
        <v>2.7</v>
      </c>
      <c r="BG155" s="51" t="s">
        <v>1</v>
      </c>
      <c r="BH155" s="51" t="s">
        <v>1</v>
      </c>
      <c r="BI155" s="137"/>
      <c r="BJ155" s="111" t="s">
        <v>1281</v>
      </c>
      <c r="BK155" s="112" t="s">
        <v>1281</v>
      </c>
      <c r="BL155" s="112" t="s">
        <v>1281</v>
      </c>
      <c r="BM155" s="112" t="s">
        <v>1281</v>
      </c>
      <c r="BN155" s="112" t="s">
        <v>1281</v>
      </c>
      <c r="BO155" s="112" t="s">
        <v>1281</v>
      </c>
      <c r="BP155" s="112" t="s">
        <v>1281</v>
      </c>
      <c r="BQ155" s="112" t="s">
        <v>1281</v>
      </c>
      <c r="BR155" s="112" t="s">
        <v>1281</v>
      </c>
      <c r="BS155" s="112" t="s">
        <v>1281</v>
      </c>
      <c r="BT155" s="112" t="s">
        <v>1281</v>
      </c>
      <c r="BU155" s="112" t="s">
        <v>1281</v>
      </c>
      <c r="BV155" s="111">
        <f t="shared" ref="BV155" si="1151">E155</f>
        <v>25</v>
      </c>
      <c r="BW155" s="113" t="str">
        <f t="shared" ref="BW155" si="1152">I155</f>
        <v>-</v>
      </c>
      <c r="BX155" s="114">
        <f t="shared" ref="BX155" si="1153">M155</f>
        <v>62</v>
      </c>
      <c r="BY155" s="113">
        <f t="shared" ref="BY155" si="1154">Q155</f>
        <v>94</v>
      </c>
      <c r="BZ155" s="114">
        <f t="shared" ref="BZ155" si="1155">U155</f>
        <v>97</v>
      </c>
      <c r="CA155" s="113">
        <f t="shared" ref="CA155" si="1156">Y155</f>
        <v>133</v>
      </c>
      <c r="CB155" s="114">
        <f t="shared" ref="CB155" si="1157">AC155</f>
        <v>141</v>
      </c>
      <c r="CC155" s="113">
        <f t="shared" ref="CC155" si="1158">AG155</f>
        <v>180</v>
      </c>
      <c r="CD155" s="114">
        <f t="shared" ref="CD155" si="1159">AK155</f>
        <v>195</v>
      </c>
      <c r="CE155" s="113">
        <f t="shared" ref="CE155" si="1160">AO155</f>
        <v>1237</v>
      </c>
      <c r="CF155" s="114">
        <f t="shared" ref="CF155" si="1161">AS155</f>
        <v>1273</v>
      </c>
      <c r="CG155" s="113">
        <f t="shared" ref="CG155" si="1162">AW155</f>
        <v>1306</v>
      </c>
      <c r="CH155" s="111">
        <f t="shared" ref="CH155" si="1163">G155</f>
        <v>57</v>
      </c>
      <c r="CI155" s="113" t="str">
        <f t="shared" ref="CI155" si="1164">K155</f>
        <v>-</v>
      </c>
      <c r="CJ155" s="114">
        <f t="shared" ref="CJ155" si="1165">O155</f>
        <v>92</v>
      </c>
      <c r="CK155" s="114">
        <f t="shared" ref="CK155" si="1166">S155</f>
        <v>96</v>
      </c>
      <c r="CL155" s="114">
        <f t="shared" ref="CL155" si="1167">W155</f>
        <v>132</v>
      </c>
      <c r="CM155" s="114">
        <f t="shared" ref="CM155" si="1168">AA155</f>
        <v>140</v>
      </c>
      <c r="CN155" s="114">
        <f t="shared" ref="CN155" si="1169">AE155</f>
        <v>166</v>
      </c>
      <c r="CO155" s="114">
        <f t="shared" ref="CO155" si="1170">AI155</f>
        <v>182</v>
      </c>
      <c r="CP155" s="114">
        <f t="shared" ref="CP155" si="1171">AM155</f>
        <v>226</v>
      </c>
      <c r="CQ155" s="114">
        <f t="shared" ref="CQ155" si="1172">AQ155</f>
        <v>1269</v>
      </c>
      <c r="CR155" s="114">
        <f t="shared" ref="CR155" si="1173">AU155</f>
        <v>1305</v>
      </c>
      <c r="CS155" s="114">
        <f t="shared" ref="CS155" si="1174">AY155</f>
        <v>1318</v>
      </c>
      <c r="CT155" s="109" t="e">
        <f t="shared" ref="CT155" si="1175">M155-K155</f>
        <v>#VALUE!</v>
      </c>
    </row>
    <row r="156" spans="1:1029" x14ac:dyDescent="0.2">
      <c r="A156" s="3" t="str">
        <f t="shared" ref="A156:A168" si="1176">CONCATENATE(B156,"_",C156)</f>
        <v>agtr2_human__wt</v>
      </c>
      <c r="B156" s="3" t="s">
        <v>159</v>
      </c>
      <c r="C156" s="3" t="s">
        <v>100</v>
      </c>
      <c r="D156" s="3" t="str">
        <f>IFERROR(MID(VLOOKUP($B156,Seqs!$A:$B,2,0),E156,1),"")</f>
        <v>D</v>
      </c>
      <c r="E156" s="3">
        <v>45</v>
      </c>
      <c r="F156" s="3" t="str">
        <f>IFERROR(MID(VLOOKUP($B156,Seqs!$A:$B,2,0),G156,1),"")</f>
        <v>Q</v>
      </c>
      <c r="G156" s="3">
        <v>72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V</v>
      </c>
      <c r="M156" s="3">
        <v>78</v>
      </c>
      <c r="N156" s="3" t="str">
        <f>IFERROR(MID(VLOOKUP($B156,Seqs!$A:$B,2,0),O156,1),"")</f>
        <v>Y</v>
      </c>
      <c r="O156" s="3">
        <v>106</v>
      </c>
      <c r="P156" s="3" t="str">
        <f>IFERROR(MID(VLOOKUP($B156,Seqs!$A:$B,2,0),Q156,1),"")</f>
        <v>R</v>
      </c>
      <c r="Q156" s="3">
        <v>107</v>
      </c>
      <c r="R156" s="3" t="str">
        <f>IFERROR(MID(VLOOKUP($B156,Seqs!$A:$B,2,0),S156,1),"")</f>
        <v>F</v>
      </c>
      <c r="S156" s="3">
        <v>112</v>
      </c>
      <c r="T156" s="3" t="str">
        <f>IFERROR(MID(VLOOKUP($B156,Seqs!$A:$B,2,0),U156,1),"")</f>
        <v>G</v>
      </c>
      <c r="U156" s="3">
        <v>113</v>
      </c>
      <c r="V156" s="3" t="str">
        <f>IFERROR(MID(VLOOKUP($B156,Seqs!$A:$B,2,0),W156,1),"")</f>
        <v>Y</v>
      </c>
      <c r="W156" s="3">
        <v>148</v>
      </c>
      <c r="X156" s="3" t="str">
        <f>IFERROR(MID(VLOOKUP($B156,Seqs!$A:$B,2,0),Y156,1),"")</f>
        <v>P</v>
      </c>
      <c r="Y156" s="3">
        <v>149</v>
      </c>
      <c r="Z156" s="3" t="str">
        <f>IFERROR(MID(VLOOKUP($B156,Seqs!$A:$B,2,0),AA156,1),"")</f>
        <v>R</v>
      </c>
      <c r="AA156" s="3">
        <v>155</v>
      </c>
      <c r="AB156" s="3" t="str">
        <f>IFERROR(MID(VLOOKUP($B156,Seqs!$A:$B,2,0),AC156,1),"")</f>
        <v>N</v>
      </c>
      <c r="AC156" s="3">
        <v>156</v>
      </c>
      <c r="AD156" s="3" t="str">
        <f>IFERROR(MID(VLOOKUP($B156,Seqs!$A:$B,2,0),AE156,1),"")</f>
        <v>R</v>
      </c>
      <c r="AE156" s="3">
        <v>182</v>
      </c>
      <c r="AF156" s="3" t="str">
        <f>IFERROR(MID(VLOOKUP($B156,Seqs!$A:$B,2,0),AG156,1),"")</f>
        <v>C</v>
      </c>
      <c r="AG156" s="3">
        <v>195</v>
      </c>
      <c r="AH156" s="3" t="str">
        <f>IFERROR(MID(VLOOKUP($B156,Seqs!$A:$B,2,0),AI156,1),"")</f>
        <v>M</v>
      </c>
      <c r="AI156" s="3">
        <v>197</v>
      </c>
      <c r="AJ156" s="3" t="str">
        <f>IFERROR(MID(VLOOKUP($B156,Seqs!$A:$B,2,0),AK156,1),"")</f>
        <v>K</v>
      </c>
      <c r="AK156" s="3">
        <v>203</v>
      </c>
      <c r="AL156" s="3" t="str">
        <f>IFERROR(MID(VLOOKUP($B156,Seqs!$A:$B,2,0),AM156,1),"")</f>
        <v>T</v>
      </c>
      <c r="AM156" s="3">
        <v>241</v>
      </c>
      <c r="AN156" s="3" t="str">
        <f>IFERROR(MID(VLOOKUP($B156,Seqs!$A:$B,2,0),AO156,1),"")</f>
        <v>G</v>
      </c>
      <c r="AO156" s="3">
        <v>245</v>
      </c>
      <c r="AP156" s="3" t="str">
        <f>IFERROR(MID(VLOOKUP($B156,Seqs!$A:$B,2,0),AQ156,1),"")</f>
        <v>G</v>
      </c>
      <c r="AQ156" s="3">
        <v>285</v>
      </c>
      <c r="AR156" s="3" t="str">
        <f>IFERROR(MID(VLOOKUP($B156,Seqs!$A:$B,2,0),AS156,1),"")</f>
        <v>S</v>
      </c>
      <c r="AS156" s="3">
        <v>289</v>
      </c>
      <c r="AT156" s="3" t="str">
        <f>IFERROR(MID(VLOOKUP($B156,Seqs!$A:$B,2,0),AU156,1),"")</f>
        <v>V</v>
      </c>
      <c r="AU156" s="3">
        <v>321</v>
      </c>
      <c r="AV156" s="3" t="str">
        <f>IFERROR(MID(VLOOKUP($B156,Seqs!$A:$B,2,0),AW156,1),"")</f>
        <v>G</v>
      </c>
      <c r="AW156" s="3">
        <v>322</v>
      </c>
      <c r="AX156" s="3" t="str">
        <f>IFERROR(MID(VLOOKUP($B156,Seqs!$A:$B,2,0),AY156,1),"")</f>
        <v>P</v>
      </c>
      <c r="AY156" s="3">
        <v>336</v>
      </c>
      <c r="AZ156" s="77" t="str">
        <f>VLOOKUP(B156,Classification!A:D,2,0)</f>
        <v>A</v>
      </c>
      <c r="BA156" s="94" t="str">
        <f>VLOOKUP(B156,Classification!A:D,4,0)</f>
        <v>Angiotensin</v>
      </c>
      <c r="BB156" s="27" t="b">
        <f t="shared" ref="BB156:BB168" si="1177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ref="BC156:BC168" si="1178">_xlfn.AGGREGATE(9,6,CH156:CS156)-_xlfn.AGGREGATE(9,6,BV156:CG156)+12</f>
        <v>265</v>
      </c>
      <c r="BD156" s="2" t="s">
        <v>23</v>
      </c>
      <c r="BE156" s="3" t="s">
        <v>23</v>
      </c>
      <c r="BF156" s="118" t="s">
        <v>23</v>
      </c>
      <c r="BG156" s="49" t="s">
        <v>1371</v>
      </c>
      <c r="BH156" s="49" t="s">
        <v>1371</v>
      </c>
      <c r="BI156" s="1"/>
      <c r="BJ156" s="70" t="s">
        <v>1281</v>
      </c>
      <c r="BK156" s="57" t="s">
        <v>1281</v>
      </c>
      <c r="BL156" s="57" t="s">
        <v>1281</v>
      </c>
      <c r="BM156" s="57" t="s">
        <v>1281</v>
      </c>
      <c r="BN156" s="57" t="s">
        <v>1281</v>
      </c>
      <c r="BO156" s="57" t="s">
        <v>1281</v>
      </c>
      <c r="BP156" s="57" t="s">
        <v>1281</v>
      </c>
      <c r="BQ156" s="57" t="s">
        <v>1281</v>
      </c>
      <c r="BR156" s="57" t="s">
        <v>1281</v>
      </c>
      <c r="BS156" s="57" t="s">
        <v>1281</v>
      </c>
      <c r="BT156" s="57" t="s">
        <v>1281</v>
      </c>
      <c r="BU156" s="57" t="s">
        <v>1281</v>
      </c>
      <c r="BV156" s="70">
        <f t="shared" ref="BV156:BV168" si="1179">E156</f>
        <v>45</v>
      </c>
      <c r="BW156" s="71" t="str">
        <f t="shared" ref="BW156:BW168" si="1180">I156</f>
        <v>-</v>
      </c>
      <c r="BX156" s="72">
        <f t="shared" ref="BX156:BX168" si="1181">M156</f>
        <v>78</v>
      </c>
      <c r="BY156" s="71">
        <f t="shared" ref="BY156:BY168" si="1182">Q156</f>
        <v>107</v>
      </c>
      <c r="BZ156" s="72">
        <f t="shared" ref="BZ156:BZ168" si="1183">U156</f>
        <v>113</v>
      </c>
      <c r="CA156" s="71">
        <f t="shared" ref="CA156:CA168" si="1184">Y156</f>
        <v>149</v>
      </c>
      <c r="CB156" s="72">
        <f t="shared" ref="CB156:CB168" si="1185">AC156</f>
        <v>156</v>
      </c>
      <c r="CC156" s="71">
        <f t="shared" ref="CC156:CC168" si="1186">AG156</f>
        <v>195</v>
      </c>
      <c r="CD156" s="72">
        <f t="shared" ref="CD156:CD168" si="1187">AK156</f>
        <v>203</v>
      </c>
      <c r="CE156" s="71">
        <f t="shared" ref="CE156:CE168" si="1188">AO156</f>
        <v>245</v>
      </c>
      <c r="CF156" s="72">
        <f t="shared" ref="CF156:CF168" si="1189">AS156</f>
        <v>289</v>
      </c>
      <c r="CG156" s="71">
        <f t="shared" ref="CG156:CG168" si="1190">AW156</f>
        <v>322</v>
      </c>
      <c r="CH156" s="70">
        <f t="shared" ref="CH156:CH168" si="1191">G156</f>
        <v>72</v>
      </c>
      <c r="CI156" s="71" t="str">
        <f t="shared" ref="CI156:CI168" si="1192">K156</f>
        <v>-</v>
      </c>
      <c r="CJ156" s="72">
        <f t="shared" ref="CJ156:CJ168" si="1193">O156</f>
        <v>106</v>
      </c>
      <c r="CK156" s="72">
        <f t="shared" ref="CK156:CK168" si="1194">S156</f>
        <v>112</v>
      </c>
      <c r="CL156" s="72">
        <f t="shared" ref="CL156:CL168" si="1195">W156</f>
        <v>148</v>
      </c>
      <c r="CM156" s="72">
        <f t="shared" ref="CM156:CM168" si="1196">AA156</f>
        <v>155</v>
      </c>
      <c r="CN156" s="72">
        <f t="shared" ref="CN156:CN168" si="1197">AE156</f>
        <v>182</v>
      </c>
      <c r="CO156" s="72">
        <f t="shared" ref="CO156:CO168" si="1198">AI156</f>
        <v>197</v>
      </c>
      <c r="CP156" s="72">
        <f t="shared" ref="CP156:CP168" si="1199">AM156</f>
        <v>241</v>
      </c>
      <c r="CQ156" s="72">
        <f t="shared" ref="CQ156:CQ168" si="1200">AQ156</f>
        <v>285</v>
      </c>
      <c r="CR156" s="72">
        <f t="shared" ref="CR156:CR168" si="1201">AU156</f>
        <v>321</v>
      </c>
      <c r="CS156" s="72">
        <f t="shared" ref="CS156:CS168" si="1202">AY156</f>
        <v>336</v>
      </c>
      <c r="CT156" s="23" t="e">
        <f t="shared" ref="CT156:CT168" si="1203">M156-K156</f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176"/>
        <v>agtr2_human_5UNF</v>
      </c>
      <c r="B157" s="3" t="s">
        <v>159</v>
      </c>
      <c r="C157" s="3" t="s">
        <v>1386</v>
      </c>
      <c r="D157" s="3" t="str">
        <f>IFERROR(MID(VLOOKUP($B157,Seqs!$A:$B,2,0),E157,1),"")</f>
        <v>A</v>
      </c>
      <c r="E157" s="3">
        <v>46</v>
      </c>
      <c r="F157" s="3" t="str">
        <f>IFERROR(MID(VLOOKUP($B157,Seqs!$A:$B,2,0),G157,1),"")</f>
        <v>Q</v>
      </c>
      <c r="G157" s="3">
        <v>72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V</v>
      </c>
      <c r="M157" s="3">
        <v>78</v>
      </c>
      <c r="N157" s="3" t="str">
        <f>IFERROR(MID(VLOOKUP($B157,Seqs!$A:$B,2,0),O157,1),"")</f>
        <v>Y</v>
      </c>
      <c r="O157" s="3">
        <v>106</v>
      </c>
      <c r="P157" s="3" t="str">
        <f>IFERROR(MID(VLOOKUP($B157,Seqs!$A:$B,2,0),Q157,1),"")</f>
        <v>R</v>
      </c>
      <c r="Q157" s="3">
        <v>107</v>
      </c>
      <c r="R157" s="3" t="str">
        <f>IFERROR(MID(VLOOKUP($B157,Seqs!$A:$B,2,0),S157,1),"")</f>
        <v>F</v>
      </c>
      <c r="S157" s="3">
        <v>112</v>
      </c>
      <c r="T157" s="3" t="str">
        <f>IFERROR(MID(VLOOKUP($B157,Seqs!$A:$B,2,0),U157,1),"")</f>
        <v>G</v>
      </c>
      <c r="U157" s="3">
        <v>113</v>
      </c>
      <c r="V157" s="3" t="str">
        <f>IFERROR(MID(VLOOKUP($B157,Seqs!$A:$B,2,0),W157,1),"")</f>
        <v>Y</v>
      </c>
      <c r="W157" s="3">
        <v>148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W</v>
      </c>
      <c r="AC157" s="3">
        <v>158</v>
      </c>
      <c r="AD157" s="3" t="str">
        <f>IFERROR(MID(VLOOKUP($B157,Seqs!$A:$B,2,0),AE157,1),"")</f>
        <v>R</v>
      </c>
      <c r="AE157" s="3">
        <v>182</v>
      </c>
      <c r="AF157" s="3" t="str">
        <f>IFERROR(MID(VLOOKUP($B157,Seqs!$A:$B,2,0),AG157,1),"")</f>
        <v>C</v>
      </c>
      <c r="AG157" s="3">
        <v>195</v>
      </c>
      <c r="AH157" s="3" t="str">
        <f>IFERROR(MID(VLOOKUP($B157,Seqs!$A:$B,2,0),AI157,1),"")</f>
        <v>M</v>
      </c>
      <c r="AI157" s="3">
        <v>197</v>
      </c>
      <c r="AJ157" s="3" t="str">
        <f>IFERROR(MID(VLOOKUP($B157,Seqs!$A:$B,2,0),AK157,1),"")</f>
        <v>Y</v>
      </c>
      <c r="AK157" s="3">
        <v>204</v>
      </c>
      <c r="AL157" s="3" t="str">
        <f>IFERROR(MID(VLOOKUP($B157,Seqs!$A:$B,2,0),AM157,1),"")</f>
        <v>T</v>
      </c>
      <c r="AM157" s="3">
        <v>241</v>
      </c>
      <c r="AN157" s="3" t="str">
        <f>IFERROR(MID(VLOOKUP($B157,Seqs!$A:$B,2,0),AO157,1),"")</f>
        <v>G</v>
      </c>
      <c r="AO157" s="3">
        <v>245</v>
      </c>
      <c r="AP157" s="3" t="str">
        <f>IFERROR(MID(VLOOKUP($B157,Seqs!$A:$B,2,0),AQ157,1),"")</f>
        <v>G</v>
      </c>
      <c r="AQ157" s="3">
        <v>285</v>
      </c>
      <c r="AR157" s="3" t="str">
        <f>IFERROR(MID(VLOOKUP($B157,Seqs!$A:$B,2,0),AS157,1),"")</f>
        <v>C</v>
      </c>
      <c r="AS157" s="3">
        <v>290</v>
      </c>
      <c r="AT157" s="3" t="str">
        <f>IFERROR(MID(VLOOKUP($B157,Seqs!$A:$B,2,0),AU157,1),"")</f>
        <v>V</v>
      </c>
      <c r="AU157" s="3">
        <v>321</v>
      </c>
      <c r="AV157" s="3" t="str">
        <f>IFERROR(MID(VLOOKUP($B157,Seqs!$A:$B,2,0),AW157,1),"")</f>
        <v>G</v>
      </c>
      <c r="AW157" s="3">
        <v>322</v>
      </c>
      <c r="AX157" s="3" t="str">
        <f>IFERROR(MID(VLOOKUP($B157,Seqs!$A:$B,2,0),AY157,1),"")</f>
        <v>R</v>
      </c>
      <c r="AY157" s="3">
        <v>334</v>
      </c>
      <c r="AZ157" s="77"/>
      <c r="BA157" s="94" t="str">
        <f>VLOOKUP(B157,Classification!A:D,4,0)</f>
        <v>Angiotensin</v>
      </c>
      <c r="BB157" s="27" t="b">
        <f t="shared" si="1177"/>
        <v>1</v>
      </c>
      <c r="BC157" s="23">
        <f t="shared" si="1178"/>
        <v>252</v>
      </c>
      <c r="BD157" s="2" t="s">
        <v>23</v>
      </c>
      <c r="BE157" s="3" t="s">
        <v>1285</v>
      </c>
      <c r="BF157" s="118">
        <v>2.8</v>
      </c>
      <c r="BG157" s="49" t="s">
        <v>1371</v>
      </c>
      <c r="BH157" s="49" t="s">
        <v>1</v>
      </c>
      <c r="BI157" s="1"/>
      <c r="BJ157" s="70" t="s">
        <v>1281</v>
      </c>
      <c r="BK157" s="57" t="s">
        <v>1281</v>
      </c>
      <c r="BL157" s="57" t="s">
        <v>1281</v>
      </c>
      <c r="BM157" s="57" t="s">
        <v>1281</v>
      </c>
      <c r="BN157" s="57" t="s">
        <v>1281</v>
      </c>
      <c r="BO157" s="57" t="s">
        <v>1281</v>
      </c>
      <c r="BP157" s="57" t="s">
        <v>1281</v>
      </c>
      <c r="BQ157" s="57" t="s">
        <v>1281</v>
      </c>
      <c r="BR157" s="57" t="s">
        <v>1281</v>
      </c>
      <c r="BS157" s="57" t="s">
        <v>1281</v>
      </c>
      <c r="BT157" s="57" t="s">
        <v>1281</v>
      </c>
      <c r="BU157" s="57" t="s">
        <v>1281</v>
      </c>
      <c r="BV157" s="70">
        <f t="shared" si="1179"/>
        <v>46</v>
      </c>
      <c r="BW157" s="71" t="str">
        <f t="shared" si="1180"/>
        <v>-</v>
      </c>
      <c r="BX157" s="72">
        <f t="shared" si="1181"/>
        <v>78</v>
      </c>
      <c r="BY157" s="71">
        <f t="shared" si="1182"/>
        <v>107</v>
      </c>
      <c r="BZ157" s="72">
        <f t="shared" si="1183"/>
        <v>113</v>
      </c>
      <c r="CA157" s="71" t="str">
        <f t="shared" si="1184"/>
        <v>-</v>
      </c>
      <c r="CB157" s="72">
        <f t="shared" si="1185"/>
        <v>158</v>
      </c>
      <c r="CC157" s="71">
        <f t="shared" si="1186"/>
        <v>195</v>
      </c>
      <c r="CD157" s="72">
        <f t="shared" si="1187"/>
        <v>204</v>
      </c>
      <c r="CE157" s="71">
        <f t="shared" si="1188"/>
        <v>245</v>
      </c>
      <c r="CF157" s="72">
        <f t="shared" si="1189"/>
        <v>290</v>
      </c>
      <c r="CG157" s="71">
        <f t="shared" si="1190"/>
        <v>322</v>
      </c>
      <c r="CH157" s="70">
        <f t="shared" si="1191"/>
        <v>72</v>
      </c>
      <c r="CI157" s="71" t="str">
        <f t="shared" si="1192"/>
        <v>-</v>
      </c>
      <c r="CJ157" s="72">
        <f t="shared" si="1193"/>
        <v>106</v>
      </c>
      <c r="CK157" s="72">
        <f t="shared" si="1194"/>
        <v>112</v>
      </c>
      <c r="CL157" s="72">
        <f t="shared" si="1195"/>
        <v>148</v>
      </c>
      <c r="CM157" s="72" t="str">
        <f t="shared" si="1196"/>
        <v>-</v>
      </c>
      <c r="CN157" s="72">
        <f t="shared" si="1197"/>
        <v>182</v>
      </c>
      <c r="CO157" s="72">
        <f t="shared" si="1198"/>
        <v>197</v>
      </c>
      <c r="CP157" s="72">
        <f t="shared" si="1199"/>
        <v>241</v>
      </c>
      <c r="CQ157" s="72">
        <f t="shared" si="1200"/>
        <v>285</v>
      </c>
      <c r="CR157" s="72">
        <f t="shared" si="1201"/>
        <v>321</v>
      </c>
      <c r="CS157" s="72">
        <f t="shared" si="1202"/>
        <v>334</v>
      </c>
      <c r="CT157" s="23" t="e">
        <f t="shared" si="1203"/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176"/>
        <v>agtr2_human_5UNG</v>
      </c>
      <c r="B158" s="3" t="s">
        <v>159</v>
      </c>
      <c r="C158" s="3" t="s">
        <v>1388</v>
      </c>
      <c r="D158" s="3" t="str">
        <f>IFERROR(MID(VLOOKUP($B158,Seqs!$A:$B,2,0),E158,1),"")</f>
        <v>D</v>
      </c>
      <c r="E158" s="3">
        <v>45</v>
      </c>
      <c r="F158" s="3" t="str">
        <f>IFERROR(MID(VLOOKUP($B158,Seqs!$A:$B,2,0),G158,1),"")</f>
        <v>C</v>
      </c>
      <c r="G158" s="3">
        <v>71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V</v>
      </c>
      <c r="M158" s="3">
        <v>78</v>
      </c>
      <c r="N158" s="3" t="str">
        <f>IFERROR(MID(VLOOKUP($B158,Seqs!$A:$B,2,0),O158,1),"")</f>
        <v>Y</v>
      </c>
      <c r="O158" s="3">
        <v>106</v>
      </c>
      <c r="P158" s="3" t="str">
        <f>IFERROR(MID(VLOOKUP($B158,Seqs!$A:$B,2,0),Q158,1),"")</f>
        <v>R</v>
      </c>
      <c r="Q158" s="3">
        <v>107</v>
      </c>
      <c r="R158" s="3" t="str">
        <f>IFERROR(MID(VLOOKUP($B158,Seqs!$A:$B,2,0),S158,1),"")</f>
        <v>F</v>
      </c>
      <c r="S158" s="3">
        <v>112</v>
      </c>
      <c r="T158" s="3" t="str">
        <f>IFERROR(MID(VLOOKUP($B158,Seqs!$A:$B,2,0),U158,1),"")</f>
        <v>G</v>
      </c>
      <c r="U158" s="3">
        <v>113</v>
      </c>
      <c r="V158" s="3" t="str">
        <f>IFERROR(MID(VLOOKUP($B158,Seqs!$A:$B,2,0),W158,1),"")</f>
        <v>Y</v>
      </c>
      <c r="W158" s="3">
        <v>148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Q</v>
      </c>
      <c r="AC158" s="3">
        <v>159</v>
      </c>
      <c r="AD158" s="3" t="str">
        <f>IFERROR(MID(VLOOKUP($B158,Seqs!$A:$B,2,0),AE158,1),"")</f>
        <v>R</v>
      </c>
      <c r="AE158" s="3">
        <v>182</v>
      </c>
      <c r="AF158" s="3" t="str">
        <f>IFERROR(MID(VLOOKUP($B158,Seqs!$A:$B,2,0),AG158,1),"")</f>
        <v>C</v>
      </c>
      <c r="AG158" s="3">
        <v>195</v>
      </c>
      <c r="AH158" s="3" t="str">
        <f>IFERROR(MID(VLOOKUP($B158,Seqs!$A:$B,2,0),AI158,1),"")</f>
        <v>M</v>
      </c>
      <c r="AI158" s="3">
        <v>197</v>
      </c>
      <c r="AJ158" s="3" t="str">
        <f>IFERROR(MID(VLOOKUP($B158,Seqs!$A:$B,2,0),AK158,1),"")</f>
        <v>K</v>
      </c>
      <c r="AK158" s="3">
        <v>203</v>
      </c>
      <c r="AL158" s="3" t="str">
        <f>IFERROR(MID(VLOOKUP($B158,Seqs!$A:$B,2,0),AM158,1),"")</f>
        <v>T</v>
      </c>
      <c r="AM158" s="3">
        <v>241</v>
      </c>
      <c r="AN158" s="3" t="str">
        <f>IFERROR(MID(VLOOKUP($B158,Seqs!$A:$B,2,0),AO158,1),"")</f>
        <v>G</v>
      </c>
      <c r="AO158" s="3">
        <v>245</v>
      </c>
      <c r="AP158" s="3" t="str">
        <f>IFERROR(MID(VLOOKUP($B158,Seqs!$A:$B,2,0),AQ158,1),"")</f>
        <v>G</v>
      </c>
      <c r="AQ158" s="3">
        <v>285</v>
      </c>
      <c r="AR158" s="3" t="str">
        <f>IFERROR(MID(VLOOKUP($B158,Seqs!$A:$B,2,0),AS158,1),"")</f>
        <v>S</v>
      </c>
      <c r="AS158" s="3">
        <v>289</v>
      </c>
      <c r="AT158" s="3" t="str">
        <f>IFERROR(MID(VLOOKUP($B158,Seqs!$A:$B,2,0),AU158,1),"")</f>
        <v>V</v>
      </c>
      <c r="AU158" s="3">
        <v>321</v>
      </c>
      <c r="AV158" s="3" t="str">
        <f>IFERROR(MID(VLOOKUP($B158,Seqs!$A:$B,2,0),AW158,1),"")</f>
        <v>G</v>
      </c>
      <c r="AW158" s="3">
        <v>322</v>
      </c>
      <c r="AX158" s="3" t="str">
        <f>IFERROR(MID(VLOOKUP($B158,Seqs!$A:$B,2,0),AY158,1),"")</f>
        <v>R</v>
      </c>
      <c r="AY158" s="3">
        <v>334</v>
      </c>
      <c r="AZ158" s="77" t="str">
        <f>VLOOKUP(B158,Classification!A:D,2,0)</f>
        <v>A</v>
      </c>
      <c r="BA158" s="94" t="str">
        <f>VLOOKUP(B158,Classification!A:D,4,0)</f>
        <v>Angiotensin</v>
      </c>
      <c r="BB158" s="27" t="b">
        <f t="shared" si="1177"/>
        <v>1</v>
      </c>
      <c r="BC158" s="23">
        <f t="shared" si="1178"/>
        <v>253</v>
      </c>
      <c r="BD158" s="2" t="s">
        <v>23</v>
      </c>
      <c r="BE158" s="3" t="s">
        <v>1285</v>
      </c>
      <c r="BF158" s="118">
        <v>2.8</v>
      </c>
      <c r="BG158" s="49" t="s">
        <v>1371</v>
      </c>
      <c r="BH158" s="49" t="s">
        <v>1275</v>
      </c>
      <c r="BI158" s="1"/>
      <c r="BJ158" s="70" t="s">
        <v>1281</v>
      </c>
      <c r="BK158" s="57" t="s">
        <v>1281</v>
      </c>
      <c r="BL158" s="57" t="s">
        <v>1281</v>
      </c>
      <c r="BM158" s="57" t="s">
        <v>1281</v>
      </c>
      <c r="BN158" s="57" t="s">
        <v>1281</v>
      </c>
      <c r="BO158" s="57" t="s">
        <v>1281</v>
      </c>
      <c r="BP158" s="57" t="s">
        <v>1281</v>
      </c>
      <c r="BQ158" s="57" t="s">
        <v>1281</v>
      </c>
      <c r="BR158" s="57" t="s">
        <v>1281</v>
      </c>
      <c r="BS158" s="57" t="s">
        <v>1281</v>
      </c>
      <c r="BT158" s="57" t="s">
        <v>1281</v>
      </c>
      <c r="BU158" s="57" t="s">
        <v>1281</v>
      </c>
      <c r="BV158" s="70">
        <f t="shared" si="1179"/>
        <v>45</v>
      </c>
      <c r="BW158" s="71" t="str">
        <f t="shared" si="1180"/>
        <v>-</v>
      </c>
      <c r="BX158" s="72">
        <f t="shared" si="1181"/>
        <v>78</v>
      </c>
      <c r="BY158" s="71">
        <f t="shared" si="1182"/>
        <v>107</v>
      </c>
      <c r="BZ158" s="72">
        <f t="shared" si="1183"/>
        <v>113</v>
      </c>
      <c r="CA158" s="71" t="str">
        <f t="shared" si="1184"/>
        <v>-</v>
      </c>
      <c r="CB158" s="72">
        <f t="shared" si="1185"/>
        <v>159</v>
      </c>
      <c r="CC158" s="71">
        <f t="shared" si="1186"/>
        <v>195</v>
      </c>
      <c r="CD158" s="72">
        <f t="shared" si="1187"/>
        <v>203</v>
      </c>
      <c r="CE158" s="71">
        <f t="shared" si="1188"/>
        <v>245</v>
      </c>
      <c r="CF158" s="72">
        <f t="shared" si="1189"/>
        <v>289</v>
      </c>
      <c r="CG158" s="71">
        <f t="shared" si="1190"/>
        <v>322</v>
      </c>
      <c r="CH158" s="70">
        <f t="shared" si="1191"/>
        <v>71</v>
      </c>
      <c r="CI158" s="71" t="str">
        <f t="shared" si="1192"/>
        <v>-</v>
      </c>
      <c r="CJ158" s="72">
        <f t="shared" si="1193"/>
        <v>106</v>
      </c>
      <c r="CK158" s="72">
        <f t="shared" si="1194"/>
        <v>112</v>
      </c>
      <c r="CL158" s="72">
        <f t="shared" si="1195"/>
        <v>148</v>
      </c>
      <c r="CM158" s="72" t="str">
        <f t="shared" si="1196"/>
        <v>-</v>
      </c>
      <c r="CN158" s="72">
        <f t="shared" si="1197"/>
        <v>182</v>
      </c>
      <c r="CO158" s="72">
        <f t="shared" si="1198"/>
        <v>197</v>
      </c>
      <c r="CP158" s="72">
        <f t="shared" si="1199"/>
        <v>241</v>
      </c>
      <c r="CQ158" s="72">
        <f t="shared" si="1200"/>
        <v>285</v>
      </c>
      <c r="CR158" s="72">
        <f t="shared" si="1201"/>
        <v>321</v>
      </c>
      <c r="CS158" s="72">
        <f t="shared" si="1202"/>
        <v>334</v>
      </c>
      <c r="CT158" s="23" t="e">
        <f t="shared" si="1203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176"/>
        <v>agtr2_human_5UNH</v>
      </c>
      <c r="B159" s="3" t="s">
        <v>159</v>
      </c>
      <c r="C159" s="3" t="s">
        <v>1389</v>
      </c>
      <c r="D159" s="3" t="str">
        <f>IFERROR(MID(VLOOKUP($B159,Seqs!$A:$B,2,0),E159,1),"")</f>
        <v>D</v>
      </c>
      <c r="E159" s="3">
        <v>45</v>
      </c>
      <c r="F159" s="3" t="str">
        <f>IFERROR(MID(VLOOKUP($B159,Seqs!$A:$B,2,0),G159,1),"")</f>
        <v>C</v>
      </c>
      <c r="G159" s="3">
        <v>70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77</v>
      </c>
      <c r="N159" s="3" t="str">
        <f>IFERROR(MID(VLOOKUP($B159,Seqs!$A:$B,2,0),O159,1),"")</f>
        <v>Y</v>
      </c>
      <c r="O159" s="3">
        <v>106</v>
      </c>
      <c r="P159" s="3" t="str">
        <f>IFERROR(MID(VLOOKUP($B159,Seqs!$A:$B,2,0),Q159,1),"")</f>
        <v>R</v>
      </c>
      <c r="Q159" s="3">
        <v>107</v>
      </c>
      <c r="R159" s="3" t="str">
        <f>IFERROR(MID(VLOOKUP($B159,Seqs!$A:$B,2,0),S159,1),"")</f>
        <v>F</v>
      </c>
      <c r="S159" s="3">
        <v>112</v>
      </c>
      <c r="T159" s="3" t="str">
        <f>IFERROR(MID(VLOOKUP($B159,Seqs!$A:$B,2,0),U159,1),"")</f>
        <v>G</v>
      </c>
      <c r="U159" s="3">
        <v>113</v>
      </c>
      <c r="V159" s="3" t="str">
        <f>IFERROR(MID(VLOOKUP($B159,Seqs!$A:$B,2,0),W159,1),"")</f>
        <v>Y</v>
      </c>
      <c r="W159" s="3">
        <v>148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Y</v>
      </c>
      <c r="AC159" s="3">
        <v>162</v>
      </c>
      <c r="AD159" s="3" t="str">
        <f>IFERROR(MID(VLOOKUP($B159,Seqs!$A:$B,2,0),AE159,1),"")</f>
        <v>R</v>
      </c>
      <c r="AE159" s="3">
        <v>182</v>
      </c>
      <c r="AF159" s="3" t="str">
        <f>IFERROR(MID(VLOOKUP($B159,Seqs!$A:$B,2,0),AG159,1),"")</f>
        <v>C</v>
      </c>
      <c r="AG159" s="3">
        <v>195</v>
      </c>
      <c r="AH159" s="3" t="str">
        <f>IFERROR(MID(VLOOKUP($B159,Seqs!$A:$B,2,0),AI159,1),"")</f>
        <v>M</v>
      </c>
      <c r="AI159" s="3">
        <v>197</v>
      </c>
      <c r="AJ159" s="3" t="str">
        <f>IFERROR(MID(VLOOKUP($B159,Seqs!$A:$B,2,0),AK159,1),"")</f>
        <v>Y</v>
      </c>
      <c r="AK159" s="3">
        <v>204</v>
      </c>
      <c r="AL159" s="3" t="str">
        <f>IFERROR(MID(VLOOKUP($B159,Seqs!$A:$B,2,0),AM159,1),"")</f>
        <v>T</v>
      </c>
      <c r="AM159" s="3">
        <v>241</v>
      </c>
      <c r="AN159" s="3" t="str">
        <f>IFERROR(MID(VLOOKUP($B159,Seqs!$A:$B,2,0),AO159,1),"")</f>
        <v>G</v>
      </c>
      <c r="AO159" s="3">
        <v>245</v>
      </c>
      <c r="AP159" s="3" t="str">
        <f>IFERROR(MID(VLOOKUP($B159,Seqs!$A:$B,2,0),AQ159,1),"")</f>
        <v>G</v>
      </c>
      <c r="AQ159" s="3">
        <v>285</v>
      </c>
      <c r="AR159" s="3" t="str">
        <f>IFERROR(MID(VLOOKUP($B159,Seqs!$A:$B,2,0),AS159,1),"")</f>
        <v>S</v>
      </c>
      <c r="AS159" s="3">
        <v>289</v>
      </c>
      <c r="AT159" s="3" t="str">
        <f>IFERROR(MID(VLOOKUP($B159,Seqs!$A:$B,2,0),AU159,1),"")</f>
        <v>V</v>
      </c>
      <c r="AU159" s="3">
        <v>321</v>
      </c>
      <c r="AV159" s="3" t="str">
        <f>IFERROR(MID(VLOOKUP($B159,Seqs!$A:$B,2,0),AW159,1),"")</f>
        <v>G</v>
      </c>
      <c r="AW159" s="3">
        <v>322</v>
      </c>
      <c r="AX159" s="3" t="str">
        <f>IFERROR(MID(VLOOKUP($B159,Seqs!$A:$B,2,0),AY159,1),"")</f>
        <v>V</v>
      </c>
      <c r="AY159" s="3">
        <v>332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177"/>
        <v>1</v>
      </c>
      <c r="BC159" s="23">
        <f t="shared" si="1178"/>
        <v>247</v>
      </c>
      <c r="BD159" s="2" t="s">
        <v>23</v>
      </c>
      <c r="BE159" s="3" t="s">
        <v>1285</v>
      </c>
      <c r="BF159" s="118">
        <v>2.9</v>
      </c>
      <c r="BG159" s="49" t="s">
        <v>1371</v>
      </c>
      <c r="BH159" s="49" t="s">
        <v>1275</v>
      </c>
      <c r="BI159" s="1"/>
      <c r="BJ159" s="70" t="s">
        <v>1281</v>
      </c>
      <c r="BK159" s="57" t="s">
        <v>1281</v>
      </c>
      <c r="BL159" s="57" t="s">
        <v>1281</v>
      </c>
      <c r="BM159" s="57" t="s">
        <v>1281</v>
      </c>
      <c r="BN159" s="57" t="s">
        <v>1281</v>
      </c>
      <c r="BO159" s="57" t="s">
        <v>1281</v>
      </c>
      <c r="BP159" s="57" t="s">
        <v>1281</v>
      </c>
      <c r="BQ159" s="57" t="s">
        <v>1281</v>
      </c>
      <c r="BR159" s="57" t="s">
        <v>1281</v>
      </c>
      <c r="BS159" s="57" t="s">
        <v>1281</v>
      </c>
      <c r="BT159" s="57" t="s">
        <v>1281</v>
      </c>
      <c r="BU159" s="57" t="s">
        <v>1281</v>
      </c>
      <c r="BV159" s="70">
        <f t="shared" si="1179"/>
        <v>45</v>
      </c>
      <c r="BW159" s="71" t="str">
        <f t="shared" si="1180"/>
        <v>-</v>
      </c>
      <c r="BX159" s="72">
        <f t="shared" si="1181"/>
        <v>77</v>
      </c>
      <c r="BY159" s="71">
        <f t="shared" si="1182"/>
        <v>107</v>
      </c>
      <c r="BZ159" s="72">
        <f t="shared" si="1183"/>
        <v>113</v>
      </c>
      <c r="CA159" s="71" t="str">
        <f t="shared" si="1184"/>
        <v>-</v>
      </c>
      <c r="CB159" s="72">
        <f t="shared" si="1185"/>
        <v>162</v>
      </c>
      <c r="CC159" s="71">
        <f t="shared" si="1186"/>
        <v>195</v>
      </c>
      <c r="CD159" s="72">
        <f t="shared" si="1187"/>
        <v>204</v>
      </c>
      <c r="CE159" s="71">
        <f t="shared" si="1188"/>
        <v>245</v>
      </c>
      <c r="CF159" s="72">
        <f t="shared" si="1189"/>
        <v>289</v>
      </c>
      <c r="CG159" s="71">
        <f t="shared" si="1190"/>
        <v>322</v>
      </c>
      <c r="CH159" s="70">
        <f t="shared" si="1191"/>
        <v>70</v>
      </c>
      <c r="CI159" s="71" t="str">
        <f t="shared" si="1192"/>
        <v>-</v>
      </c>
      <c r="CJ159" s="72">
        <f t="shared" si="1193"/>
        <v>106</v>
      </c>
      <c r="CK159" s="72">
        <f t="shared" si="1194"/>
        <v>112</v>
      </c>
      <c r="CL159" s="72">
        <f t="shared" si="1195"/>
        <v>148</v>
      </c>
      <c r="CM159" s="72" t="str">
        <f t="shared" si="1196"/>
        <v>-</v>
      </c>
      <c r="CN159" s="72">
        <f t="shared" si="1197"/>
        <v>182</v>
      </c>
      <c r="CO159" s="72">
        <f t="shared" si="1198"/>
        <v>197</v>
      </c>
      <c r="CP159" s="72">
        <f t="shared" si="1199"/>
        <v>241</v>
      </c>
      <c r="CQ159" s="72">
        <f t="shared" si="1200"/>
        <v>285</v>
      </c>
      <c r="CR159" s="72">
        <f t="shared" si="1201"/>
        <v>321</v>
      </c>
      <c r="CS159" s="72">
        <f t="shared" si="1202"/>
        <v>332</v>
      </c>
      <c r="CT159" s="23" t="e">
        <f t="shared" si="1203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ref="A160" si="1204">CONCATENATE(B160,"_",C160)</f>
        <v>agtr2_human_5XJM</v>
      </c>
      <c r="B160" s="3" t="s">
        <v>159</v>
      </c>
      <c r="C160" s="3" t="s">
        <v>1505</v>
      </c>
      <c r="D160" s="3" t="str">
        <f>IFERROR(MID(VLOOKUP($B160,Seqs!$A:$B,2,0),E160,1),"")</f>
        <v>A</v>
      </c>
      <c r="E160" s="3">
        <v>46</v>
      </c>
      <c r="F160" s="3" t="str">
        <f>IFERROR(MID(VLOOKUP($B160,Seqs!$A:$B,2,0),G160,1),"")</f>
        <v>K</v>
      </c>
      <c r="G160" s="3">
        <v>73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V</v>
      </c>
      <c r="M160" s="3">
        <v>78</v>
      </c>
      <c r="N160" s="3" t="str">
        <f>IFERROR(MID(VLOOKUP($B160,Seqs!$A:$B,2,0),O160,1),"")</f>
        <v>Y</v>
      </c>
      <c r="O160" s="3">
        <v>106</v>
      </c>
      <c r="P160" s="3" t="str">
        <f>IFERROR(MID(VLOOKUP($B160,Seqs!$A:$B,2,0),Q160,1),"")</f>
        <v>R</v>
      </c>
      <c r="Q160" s="3">
        <v>107</v>
      </c>
      <c r="R160" s="3" t="str">
        <f>IFERROR(MID(VLOOKUP($B160,Seqs!$A:$B,2,0),S160,1),"")</f>
        <v>F</v>
      </c>
      <c r="S160" s="3">
        <v>112</v>
      </c>
      <c r="T160" s="3" t="str">
        <f>IFERROR(MID(VLOOKUP($B160,Seqs!$A:$B,2,0),U160,1),"")</f>
        <v>G</v>
      </c>
      <c r="U160" s="3">
        <v>113</v>
      </c>
      <c r="V160" s="3" t="str">
        <f>IFERROR(MID(VLOOKUP($B160,Seqs!$A:$B,2,0),W160,1),"")</f>
        <v>Y</v>
      </c>
      <c r="W160" s="3">
        <v>148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155</v>
      </c>
      <c r="AD160" s="3" t="str">
        <f>IFERROR(MID(VLOOKUP($B160,Seqs!$A:$B,2,0),AE160,1),"")</f>
        <v>F</v>
      </c>
      <c r="AE160" s="3">
        <v>181</v>
      </c>
      <c r="AF160" s="3" t="str">
        <f>IFERROR(MID(VLOOKUP($B160,Seqs!$A:$B,2,0),AG160,1),"")</f>
        <v>C</v>
      </c>
      <c r="AG160" s="3">
        <v>195</v>
      </c>
      <c r="AH160" s="3" t="str">
        <f>IFERROR(MID(VLOOKUP($B160,Seqs!$A:$B,2,0),AI160,1),"")</f>
        <v>M</v>
      </c>
      <c r="AI160" s="3">
        <v>197</v>
      </c>
      <c r="AJ160" s="3" t="str">
        <f>IFERROR(MID(VLOOKUP($B160,Seqs!$A:$B,2,0),AK160,1),"")</f>
        <v>K</v>
      </c>
      <c r="AK160" s="3">
        <v>203</v>
      </c>
      <c r="AL160" s="3" t="str">
        <f>IFERROR(MID(VLOOKUP($B160,Seqs!$A:$B,2,0),AM160,1),"")</f>
        <v>N</v>
      </c>
      <c r="AM160" s="3">
        <v>242</v>
      </c>
      <c r="AN160" s="3" t="str">
        <f>IFERROR(MID(VLOOKUP($B160,Seqs!$A:$B,2,0),AO160,1),"")</f>
        <v>N</v>
      </c>
      <c r="AO160" s="3">
        <v>247</v>
      </c>
      <c r="AP160" s="3" t="str">
        <f>IFERROR(MID(VLOOKUP($B160,Seqs!$A:$B,2,0),AQ160,1),"")</f>
        <v>G</v>
      </c>
      <c r="AQ160" s="3">
        <v>285</v>
      </c>
      <c r="AR160" s="3" t="str">
        <f>IFERROR(MID(VLOOKUP($B160,Seqs!$A:$B,2,0),AS160,1),"")</f>
        <v>S</v>
      </c>
      <c r="AS160" s="3">
        <v>289</v>
      </c>
      <c r="AT160" s="3" t="str">
        <f>IFERROR(MID(VLOOKUP($B160,Seqs!$A:$B,2,0),AU160,1),"")</f>
        <v>F</v>
      </c>
      <c r="AU160" s="3">
        <v>320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ref="BB160" si="120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ref="BC160" si="1206">_xlfn.AGGREGATE(9,6,CH160:CS160)-_xlfn.AGGREGATE(9,6,BV160:CG160)+12</f>
        <v>243</v>
      </c>
      <c r="BD160" s="2" t="s">
        <v>23</v>
      </c>
      <c r="BE160" s="3" t="s">
        <v>1285</v>
      </c>
      <c r="BF160" s="118">
        <v>3.2</v>
      </c>
      <c r="BG160" s="49" t="s">
        <v>1</v>
      </c>
      <c r="BH160" s="49" t="s">
        <v>1</v>
      </c>
      <c r="BI160" s="1"/>
      <c r="BJ160" s="70" t="s">
        <v>1281</v>
      </c>
      <c r="BK160" s="57" t="s">
        <v>1281</v>
      </c>
      <c r="BL160" s="57" t="s">
        <v>1281</v>
      </c>
      <c r="BM160" s="57" t="s">
        <v>1281</v>
      </c>
      <c r="BN160" s="57" t="s">
        <v>1281</v>
      </c>
      <c r="BO160" s="57" t="s">
        <v>1281</v>
      </c>
      <c r="BP160" s="57" t="s">
        <v>1281</v>
      </c>
      <c r="BQ160" s="57" t="s">
        <v>1281</v>
      </c>
      <c r="BR160" s="57" t="s">
        <v>1281</v>
      </c>
      <c r="BS160" s="57" t="s">
        <v>1281</v>
      </c>
      <c r="BT160" s="57" t="s">
        <v>1281</v>
      </c>
      <c r="BU160" s="57" t="s">
        <v>1281</v>
      </c>
      <c r="BV160" s="70">
        <f t="shared" ref="BV160" si="1207">E160</f>
        <v>46</v>
      </c>
      <c r="BW160" s="71" t="str">
        <f t="shared" ref="BW160" si="1208">I160</f>
        <v>-</v>
      </c>
      <c r="BX160" s="72">
        <f t="shared" ref="BX160" si="1209">M160</f>
        <v>78</v>
      </c>
      <c r="BY160" s="71">
        <f t="shared" ref="BY160" si="1210">Q160</f>
        <v>107</v>
      </c>
      <c r="BZ160" s="72">
        <f t="shared" ref="BZ160" si="1211">U160</f>
        <v>113</v>
      </c>
      <c r="CA160" s="71" t="str">
        <f t="shared" ref="CA160" si="1212">Y160</f>
        <v>-</v>
      </c>
      <c r="CB160" s="72">
        <f t="shared" ref="CB160" si="1213">AC160</f>
        <v>155</v>
      </c>
      <c r="CC160" s="71">
        <f t="shared" ref="CC160" si="1214">AG160</f>
        <v>195</v>
      </c>
      <c r="CD160" s="72">
        <f t="shared" ref="CD160" si="1215">AK160</f>
        <v>203</v>
      </c>
      <c r="CE160" s="71">
        <f t="shared" ref="CE160" si="1216">AO160</f>
        <v>247</v>
      </c>
      <c r="CF160" s="72">
        <f t="shared" ref="CF160" si="1217">AS160</f>
        <v>289</v>
      </c>
      <c r="CG160" s="71" t="str">
        <f t="shared" ref="CG160" si="1218">AW160</f>
        <v>-</v>
      </c>
      <c r="CH160" s="70">
        <f t="shared" ref="CH160" si="1219">G160</f>
        <v>73</v>
      </c>
      <c r="CI160" s="71" t="str">
        <f t="shared" ref="CI160" si="1220">K160</f>
        <v>-</v>
      </c>
      <c r="CJ160" s="72">
        <f t="shared" ref="CJ160" si="1221">O160</f>
        <v>106</v>
      </c>
      <c r="CK160" s="72">
        <f t="shared" ref="CK160" si="1222">S160</f>
        <v>112</v>
      </c>
      <c r="CL160" s="72">
        <f t="shared" ref="CL160" si="1223">W160</f>
        <v>148</v>
      </c>
      <c r="CM160" s="72" t="str">
        <f t="shared" ref="CM160" si="1224">AA160</f>
        <v>-</v>
      </c>
      <c r="CN160" s="72">
        <f t="shared" ref="CN160" si="1225">AE160</f>
        <v>181</v>
      </c>
      <c r="CO160" s="72">
        <f t="shared" ref="CO160" si="1226">AI160</f>
        <v>197</v>
      </c>
      <c r="CP160" s="72">
        <f t="shared" ref="CP160" si="1227">AM160</f>
        <v>242</v>
      </c>
      <c r="CQ160" s="72">
        <f t="shared" ref="CQ160" si="1228">AQ160</f>
        <v>285</v>
      </c>
      <c r="CR160" s="72">
        <f t="shared" ref="CR160" si="1229">AU160</f>
        <v>320</v>
      </c>
      <c r="CS160" s="72" t="str">
        <f t="shared" ref="CS160" si="1230">AY160</f>
        <v>-</v>
      </c>
      <c r="CT160" s="23" t="e">
        <f t="shared" ref="CT160" si="1231"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 t="shared" ref="A161" si="1232">CONCATENATE(B161,"_",C161)</f>
        <v>agtr2_human_6JOD</v>
      </c>
      <c r="B161" s="9" t="s">
        <v>159</v>
      </c>
      <c r="C161" s="9" t="s">
        <v>1628</v>
      </c>
      <c r="D161" s="9" t="str">
        <f>IFERROR(MID(VLOOKUP($B161,Seqs!$A:$B,2,0),E161,1),"")</f>
        <v>A</v>
      </c>
      <c r="E161" s="9">
        <v>46</v>
      </c>
      <c r="F161" s="9" t="str">
        <f>IFERROR(MID(VLOOKUP($B161,Seqs!$A:$B,2,0),G161,1),"")</f>
        <v>C</v>
      </c>
      <c r="G161" s="9">
        <v>70</v>
      </c>
      <c r="H161" s="9" t="str">
        <f>IFERROR(MID(VLOOKUP($B161,Seqs!$A:$B,2,0),I161,1),"")</f>
        <v/>
      </c>
      <c r="I161" s="109" t="s">
        <v>23</v>
      </c>
      <c r="J161" s="9" t="str">
        <f>IFERROR(MID(VLOOKUP($B161,Seqs!$A:$B,2,0),K161,1),"")</f>
        <v/>
      </c>
      <c r="K161" s="109" t="s">
        <v>23</v>
      </c>
      <c r="L161" s="9" t="str">
        <f>IFERROR(MID(VLOOKUP($B161,Seqs!$A:$B,2,0),M161,1),"")</f>
        <v>K</v>
      </c>
      <c r="M161" s="9">
        <v>77</v>
      </c>
      <c r="N161" s="9" t="str">
        <f>IFERROR(MID(VLOOKUP($B161,Seqs!$A:$B,2,0),O161,1),"")</f>
        <v>Y</v>
      </c>
      <c r="O161" s="9">
        <v>106</v>
      </c>
      <c r="P161" s="9" t="str">
        <f>IFERROR(MID(VLOOKUP($B161,Seqs!$A:$B,2,0),Q161,1),"")</f>
        <v>R</v>
      </c>
      <c r="Q161" s="9">
        <v>107</v>
      </c>
      <c r="R161" s="9" t="str">
        <f>IFERROR(MID(VLOOKUP($B161,Seqs!$A:$B,2,0),S161,1),"")</f>
        <v>F</v>
      </c>
      <c r="S161" s="9">
        <v>112</v>
      </c>
      <c r="T161" s="9" t="str">
        <f>IFERROR(MID(VLOOKUP($B161,Seqs!$A:$B,2,0),U161,1),"")</f>
        <v>G</v>
      </c>
      <c r="U161" s="9">
        <v>113</v>
      </c>
      <c r="V161" s="9" t="str">
        <f>IFERROR(MID(VLOOKUP($B161,Seqs!$A:$B,2,0),W161,1),"")</f>
        <v>Y</v>
      </c>
      <c r="W161" s="9">
        <v>148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N</v>
      </c>
      <c r="AC161" s="9">
        <v>156</v>
      </c>
      <c r="AD161" s="9" t="str">
        <f>IFERROR(MID(VLOOKUP($B161,Seqs!$A:$B,2,0),AE161,1),"")</f>
        <v>R</v>
      </c>
      <c r="AE161" s="9">
        <v>182</v>
      </c>
      <c r="AF161" s="9" t="str">
        <f>IFERROR(MID(VLOOKUP($B161,Seqs!$A:$B,2,0),AG161,1),"")</f>
        <v>C</v>
      </c>
      <c r="AG161" s="9">
        <v>195</v>
      </c>
      <c r="AH161" s="9" t="str">
        <f>IFERROR(MID(VLOOKUP($B161,Seqs!$A:$B,2,0),AI161,1),"")</f>
        <v>M</v>
      </c>
      <c r="AI161" s="9">
        <v>197</v>
      </c>
      <c r="AJ161" s="9" t="str">
        <f>IFERROR(MID(VLOOKUP($B161,Seqs!$A:$B,2,0),AK161,1),"")</f>
        <v>K</v>
      </c>
      <c r="AK161" s="9">
        <v>203</v>
      </c>
      <c r="AL161" s="9" t="str">
        <f>IFERROR(MID(VLOOKUP($B161,Seqs!$A:$B,2,0),AM161,1),"")</f>
        <v>N</v>
      </c>
      <c r="AM161" s="9">
        <v>242</v>
      </c>
      <c r="AN161" s="9" t="str">
        <f>IFERROR(MID(VLOOKUP($B161,Seqs!$A:$B,2,0),AO161,1),"")</f>
        <v>G</v>
      </c>
      <c r="AO161" s="9">
        <v>245</v>
      </c>
      <c r="AP161" s="9" t="str">
        <f>IFERROR(MID(VLOOKUP($B161,Seqs!$A:$B,2,0),AQ161,1),"")</f>
        <v>G</v>
      </c>
      <c r="AQ161" s="9">
        <v>285</v>
      </c>
      <c r="AR161" s="9" t="str">
        <f>IFERROR(MID(VLOOKUP($B161,Seqs!$A:$B,2,0),AS161,1),"")</f>
        <v>S</v>
      </c>
      <c r="AS161" s="9">
        <v>289</v>
      </c>
      <c r="AT161" s="9" t="str">
        <f>IFERROR(MID(VLOOKUP($B161,Seqs!$A:$B,2,0),AU161,1),"")</f>
        <v>V</v>
      </c>
      <c r="AU161" s="9">
        <v>321</v>
      </c>
      <c r="AV161" s="9" t="str">
        <f>IFERROR(MID(VLOOKUP($B161,Seqs!$A:$B,2,0),AW161,1),"")</f>
        <v>G</v>
      </c>
      <c r="AW161" s="9">
        <v>322</v>
      </c>
      <c r="AX161" s="9" t="str">
        <f>IFERROR(MID(VLOOKUP($B161,Seqs!$A:$B,2,0),AY161,1),"")</f>
        <v>R</v>
      </c>
      <c r="AY161" s="9">
        <v>334</v>
      </c>
      <c r="AZ161" s="110" t="str">
        <f>VLOOKUP(B161,Classification!A:D,2,0)</f>
        <v>A</v>
      </c>
      <c r="BA161" s="98" t="str">
        <f>VLOOKUP(B161,Classification!A:D,4,0)</f>
        <v>Angiotensin</v>
      </c>
      <c r="BB161" s="36" t="b">
        <f t="shared" ref="BB161" si="1233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 t="shared" ref="BC161" si="1234">_xlfn.AGGREGATE(9,6,CH161:CS161)-_xlfn.AGGREGATE(9,6,BV161:CG161)+12</f>
        <v>256</v>
      </c>
      <c r="BD161" s="40" t="s">
        <v>1369</v>
      </c>
      <c r="BE161" s="9" t="s">
        <v>1285</v>
      </c>
      <c r="BF161" s="119">
        <v>3.2</v>
      </c>
      <c r="BG161" s="51" t="s">
        <v>1</v>
      </c>
      <c r="BH161" s="51" t="s">
        <v>1</v>
      </c>
      <c r="BJ161" s="111" t="s">
        <v>1281</v>
      </c>
      <c r="BK161" s="112" t="s">
        <v>1281</v>
      </c>
      <c r="BL161" s="112" t="s">
        <v>1281</v>
      </c>
      <c r="BM161" s="112" t="s">
        <v>1281</v>
      </c>
      <c r="BN161" s="112" t="s">
        <v>1281</v>
      </c>
      <c r="BO161" s="112" t="s">
        <v>1281</v>
      </c>
      <c r="BP161" s="112" t="s">
        <v>1281</v>
      </c>
      <c r="BQ161" s="112" t="s">
        <v>1281</v>
      </c>
      <c r="BR161" s="112" t="s">
        <v>1281</v>
      </c>
      <c r="BS161" s="112" t="s">
        <v>1281</v>
      </c>
      <c r="BT161" s="112" t="s">
        <v>1281</v>
      </c>
      <c r="BU161" s="112" t="s">
        <v>1281</v>
      </c>
      <c r="BV161" s="111">
        <f t="shared" ref="BV161" si="1235">E161</f>
        <v>46</v>
      </c>
      <c r="BW161" s="113" t="str">
        <f t="shared" ref="BW161" si="1236">I161</f>
        <v>-</v>
      </c>
      <c r="BX161" s="114">
        <f t="shared" ref="BX161" si="1237">M161</f>
        <v>77</v>
      </c>
      <c r="BY161" s="113">
        <f t="shared" ref="BY161" si="1238">Q161</f>
        <v>107</v>
      </c>
      <c r="BZ161" s="114">
        <f t="shared" ref="BZ161" si="1239">U161</f>
        <v>113</v>
      </c>
      <c r="CA161" s="113" t="str">
        <f t="shared" ref="CA161" si="1240">Y161</f>
        <v>-</v>
      </c>
      <c r="CB161" s="114">
        <f t="shared" ref="CB161" si="1241">AC161</f>
        <v>156</v>
      </c>
      <c r="CC161" s="113">
        <f t="shared" ref="CC161" si="1242">AG161</f>
        <v>195</v>
      </c>
      <c r="CD161" s="114">
        <f t="shared" ref="CD161" si="1243">AK161</f>
        <v>203</v>
      </c>
      <c r="CE161" s="113">
        <f t="shared" ref="CE161" si="1244">AO161</f>
        <v>245</v>
      </c>
      <c r="CF161" s="114">
        <f t="shared" ref="CF161" si="1245">AS161</f>
        <v>289</v>
      </c>
      <c r="CG161" s="113">
        <f t="shared" ref="CG161" si="1246">AW161</f>
        <v>322</v>
      </c>
      <c r="CH161" s="111">
        <f t="shared" ref="CH161" si="1247">G161</f>
        <v>70</v>
      </c>
      <c r="CI161" s="113" t="str">
        <f t="shared" ref="CI161" si="1248">K161</f>
        <v>-</v>
      </c>
      <c r="CJ161" s="114">
        <f t="shared" ref="CJ161" si="1249">O161</f>
        <v>106</v>
      </c>
      <c r="CK161" s="114">
        <f t="shared" ref="CK161" si="1250">S161</f>
        <v>112</v>
      </c>
      <c r="CL161" s="114">
        <f t="shared" ref="CL161" si="1251">W161</f>
        <v>148</v>
      </c>
      <c r="CM161" s="114" t="str">
        <f t="shared" ref="CM161" si="1252">AA161</f>
        <v>-</v>
      </c>
      <c r="CN161" s="114">
        <f t="shared" ref="CN161" si="1253">AE161</f>
        <v>182</v>
      </c>
      <c r="CO161" s="114">
        <f t="shared" ref="CO161" si="1254">AI161</f>
        <v>197</v>
      </c>
      <c r="CP161" s="114">
        <f t="shared" ref="CP161" si="1255">AM161</f>
        <v>242</v>
      </c>
      <c r="CQ161" s="114">
        <f t="shared" ref="CQ161" si="1256">AQ161</f>
        <v>285</v>
      </c>
      <c r="CR161" s="114">
        <f t="shared" ref="CR161" si="1257">AU161</f>
        <v>321</v>
      </c>
      <c r="CS161" s="114">
        <f t="shared" ref="CS161" si="1258">AY161</f>
        <v>334</v>
      </c>
      <c r="CT161" s="109" t="e">
        <f t="shared" ref="CT161" si="1259">M161-K161</f>
        <v>#VALUE!</v>
      </c>
    </row>
    <row r="162" spans="1:1030" x14ac:dyDescent="0.2">
      <c r="A162" s="3" t="str">
        <f t="shared" si="1176"/>
        <v>apj_human__wt</v>
      </c>
      <c r="B162" s="3" t="s">
        <v>160</v>
      </c>
      <c r="C162" s="3" t="s">
        <v>100</v>
      </c>
      <c r="D162" s="3" t="str">
        <f>IFERROR(MID(VLOOKUP($B162,Seqs!$A:$B,2,0),E162,1),"")</f>
        <v>A</v>
      </c>
      <c r="E162" s="3">
        <v>29</v>
      </c>
      <c r="F162" s="3" t="str">
        <f>IFERROR(MID(VLOOKUP($B162,Seqs!$A:$B,2,0),G162,1),"")</f>
        <v>S</v>
      </c>
      <c r="G162" s="3">
        <v>56</v>
      </c>
      <c r="H162" s="3" t="str">
        <f>IFERROR(MID(VLOOKUP($B162,Seqs!$A:$B,2,0),I162,1),"")</f>
        <v>S</v>
      </c>
      <c r="I162" s="23">
        <v>57</v>
      </c>
      <c r="J162" s="3" t="str">
        <f>IFERROR(MID(VLOOKUP($B162,Seqs!$A:$B,2,0),K162,1),"")</f>
        <v>R</v>
      </c>
      <c r="K162" s="23">
        <v>61</v>
      </c>
      <c r="L162" s="3" t="str">
        <f>IFERROR(MID(VLOOKUP($B162,Seqs!$A:$B,2,0),M162,1),"")</f>
        <v>R</v>
      </c>
      <c r="M162" s="3">
        <v>62</v>
      </c>
      <c r="N162" s="3" t="str">
        <f>IFERROR(MID(VLOOKUP($B162,Seqs!$A:$B,2,0),O162,1),"")</f>
        <v>D</v>
      </c>
      <c r="O162" s="3">
        <v>92</v>
      </c>
      <c r="P162" s="3" t="str">
        <f>IFERROR(MID(VLOOKUP($B162,Seqs!$A:$B,2,0),Q162,1),"")</f>
        <v>D</v>
      </c>
      <c r="Q162" s="3">
        <v>94</v>
      </c>
      <c r="R162" s="3" t="str">
        <f>IFERROR(MID(VLOOKUP($B162,Seqs!$A:$B,2,0),S162,1),"")</f>
        <v>F</v>
      </c>
      <c r="S162" s="3">
        <v>97</v>
      </c>
      <c r="T162" s="3" t="str">
        <f>IFERROR(MID(VLOOKUP($B162,Seqs!$A:$B,2,0),U162,1),"")</f>
        <v>G</v>
      </c>
      <c r="U162" s="3">
        <v>98</v>
      </c>
      <c r="V162" s="3" t="str">
        <f>IFERROR(MID(VLOOKUP($B162,Seqs!$A:$B,2,0),W162,1),"")</f>
        <v>R</v>
      </c>
      <c r="W162" s="3">
        <v>133</v>
      </c>
      <c r="X162" s="3" t="str">
        <f>IFERROR(MID(VLOOKUP($B162,Seqs!$A:$B,2,0),Y162,1),"")</f>
        <v>P</v>
      </c>
      <c r="Y162" s="3">
        <v>134</v>
      </c>
      <c r="Z162" s="3" t="str">
        <f>IFERROR(MID(VLOOKUP($B162,Seqs!$A:$B,2,0),AA162,1),"")</f>
        <v>R</v>
      </c>
      <c r="AA162" s="3">
        <v>141</v>
      </c>
      <c r="AB162" s="3" t="str">
        <f>IFERROR(MID(VLOOKUP($B162,Seqs!$A:$B,2,0),AC162,1),"")</f>
        <v>L</v>
      </c>
      <c r="AC162" s="3">
        <v>142</v>
      </c>
      <c r="AD162" s="3" t="str">
        <f>IFERROR(MID(VLOOKUP($B162,Seqs!$A:$B,2,0),AE162,1),"")</f>
        <v>R</v>
      </c>
      <c r="AE162" s="3">
        <v>168</v>
      </c>
      <c r="AF162" s="3" t="str">
        <f>IFERROR(MID(VLOOKUP($B162,Seqs!$A:$B,2,0),AG162,1),"")</f>
        <v>C</v>
      </c>
      <c r="AG162" s="3">
        <v>181</v>
      </c>
      <c r="AH162" s="3" t="str">
        <f>IFERROR(MID(VLOOKUP($B162,Seqs!$A:$B,2,0),AI162,1),"")</f>
        <v>M</v>
      </c>
      <c r="AI162" s="3">
        <v>183</v>
      </c>
      <c r="AJ162" s="3" t="str">
        <f>IFERROR(MID(VLOOKUP($B162,Seqs!$A:$B,2,0),AK162,1),"")</f>
        <v>S</v>
      </c>
      <c r="AK162" s="3">
        <v>193</v>
      </c>
      <c r="AL162" s="3" t="str">
        <f>IFERROR(MID(VLOOKUP($B162,Seqs!$A:$B,2,0),AM162,1),"")</f>
        <v>E</v>
      </c>
      <c r="AM162" s="3">
        <v>235</v>
      </c>
      <c r="AN162" s="3" t="str">
        <f>IFERROR(MID(VLOOKUP($B162,Seqs!$A:$B,2,0),AO162,1),"")</f>
        <v>K</v>
      </c>
      <c r="AO162" s="3">
        <v>242</v>
      </c>
      <c r="AP162" s="3" t="str">
        <f>IFERROR(MID(VLOOKUP($B162,Seqs!$A:$B,2,0),AQ162,1),"")</f>
        <v>L</v>
      </c>
      <c r="AQ162" s="3">
        <v>276</v>
      </c>
      <c r="AR162" s="3" t="str">
        <f>IFERROR(MID(VLOOKUP($B162,Seqs!$A:$B,2,0),AS162,1),"")</f>
        <v>P</v>
      </c>
      <c r="AS162" s="3">
        <v>280</v>
      </c>
      <c r="AT162" s="3" t="str">
        <f>IFERROR(MID(VLOOKUP($B162,Seqs!$A:$B,2,0),AU162,1),"")</f>
        <v>F</v>
      </c>
      <c r="AU162" s="3">
        <v>312</v>
      </c>
      <c r="AV162" s="3" t="str">
        <f>IFERROR(MID(VLOOKUP($B162,Seqs!$A:$B,2,0),AW162,1),"")</f>
        <v>D</v>
      </c>
      <c r="AW162" s="3">
        <v>313</v>
      </c>
      <c r="AX162" s="3" t="str">
        <f>IFERROR(MID(VLOOKUP($B162,Seqs!$A:$B,2,0),AY162,1),"")</f>
        <v>G</v>
      </c>
      <c r="AY162" s="3">
        <v>327</v>
      </c>
      <c r="AZ162" s="77" t="str">
        <f>VLOOKUP(B162,Classification!A:D,2,0)</f>
        <v>A</v>
      </c>
      <c r="BA162" s="94" t="str">
        <f>VLOOKUP(B162,Classification!A:D,4,0)</f>
        <v>Apelin</v>
      </c>
      <c r="BB162" s="27" t="b">
        <f t="shared" si="1177"/>
        <v>1</v>
      </c>
      <c r="BC162" s="23">
        <f t="shared" si="1178"/>
        <v>268</v>
      </c>
      <c r="BD162" s="2"/>
      <c r="BE162" s="3" t="s">
        <v>23</v>
      </c>
      <c r="BF162" s="118" t="s">
        <v>23</v>
      </c>
      <c r="BG162" s="49" t="s">
        <v>1275</v>
      </c>
      <c r="BH162" s="49" t="s">
        <v>1275</v>
      </c>
      <c r="BI162" s="1"/>
      <c r="BJ162" s="70" t="s">
        <v>1281</v>
      </c>
      <c r="BK162" s="57" t="s">
        <v>1281</v>
      </c>
      <c r="BL162" s="57" t="s">
        <v>1281</v>
      </c>
      <c r="BM162" s="57" t="s">
        <v>1281</v>
      </c>
      <c r="BN162" s="57" t="s">
        <v>1281</v>
      </c>
      <c r="BO162" s="57" t="s">
        <v>1281</v>
      </c>
      <c r="BP162" s="57" t="s">
        <v>1281</v>
      </c>
      <c r="BQ162" s="57" t="s">
        <v>1281</v>
      </c>
      <c r="BR162" s="57" t="s">
        <v>1281</v>
      </c>
      <c r="BS162" s="57" t="s">
        <v>1281</v>
      </c>
      <c r="BT162" s="57" t="s">
        <v>1281</v>
      </c>
      <c r="BU162" s="57" t="s">
        <v>1281</v>
      </c>
      <c r="BV162" s="70">
        <f t="shared" si="1179"/>
        <v>29</v>
      </c>
      <c r="BW162" s="71">
        <f t="shared" si="1180"/>
        <v>57</v>
      </c>
      <c r="BX162" s="72">
        <f t="shared" si="1181"/>
        <v>62</v>
      </c>
      <c r="BY162" s="71">
        <f t="shared" si="1182"/>
        <v>94</v>
      </c>
      <c r="BZ162" s="72">
        <f t="shared" si="1183"/>
        <v>98</v>
      </c>
      <c r="CA162" s="71">
        <f t="shared" si="1184"/>
        <v>134</v>
      </c>
      <c r="CB162" s="72">
        <f t="shared" si="1185"/>
        <v>142</v>
      </c>
      <c r="CC162" s="71">
        <f t="shared" si="1186"/>
        <v>181</v>
      </c>
      <c r="CD162" s="72">
        <f t="shared" si="1187"/>
        <v>193</v>
      </c>
      <c r="CE162" s="71">
        <f t="shared" si="1188"/>
        <v>242</v>
      </c>
      <c r="CF162" s="72">
        <f t="shared" si="1189"/>
        <v>280</v>
      </c>
      <c r="CG162" s="71">
        <f t="shared" si="1190"/>
        <v>313</v>
      </c>
      <c r="CH162" s="70">
        <f t="shared" si="1191"/>
        <v>56</v>
      </c>
      <c r="CI162" s="71">
        <f t="shared" si="1192"/>
        <v>61</v>
      </c>
      <c r="CJ162" s="72">
        <f t="shared" si="1193"/>
        <v>92</v>
      </c>
      <c r="CK162" s="72">
        <f t="shared" si="1194"/>
        <v>97</v>
      </c>
      <c r="CL162" s="72">
        <f t="shared" si="1195"/>
        <v>133</v>
      </c>
      <c r="CM162" s="72">
        <f t="shared" si="1196"/>
        <v>141</v>
      </c>
      <c r="CN162" s="72">
        <f t="shared" si="1197"/>
        <v>168</v>
      </c>
      <c r="CO162" s="72">
        <f t="shared" si="1198"/>
        <v>183</v>
      </c>
      <c r="CP162" s="72">
        <f t="shared" si="1199"/>
        <v>235</v>
      </c>
      <c r="CQ162" s="72">
        <f t="shared" si="1200"/>
        <v>276</v>
      </c>
      <c r="CR162" s="72">
        <f t="shared" si="1201"/>
        <v>312</v>
      </c>
      <c r="CS162" s="72">
        <f t="shared" si="1202"/>
        <v>327</v>
      </c>
      <c r="CT162" s="23">
        <f t="shared" si="1203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176"/>
        <v>apj_human_5VBL</v>
      </c>
      <c r="B163" s="3" t="s">
        <v>160</v>
      </c>
      <c r="C163" s="3" t="s">
        <v>1408</v>
      </c>
      <c r="D163" s="3" t="str">
        <f>IFERROR(MID(VLOOKUP($B163,Seqs!$A:$B,2,0),E163,1),"")</f>
        <v>A</v>
      </c>
      <c r="E163" s="3">
        <v>29</v>
      </c>
      <c r="F163" s="3" t="str">
        <f>IFERROR(MID(VLOOKUP($B163,Seqs!$A:$B,2,0),G163,1),"")</f>
        <v>S</v>
      </c>
      <c r="G163" s="3">
        <v>56</v>
      </c>
      <c r="H163" s="3" t="str">
        <f>IFERROR(MID(VLOOKUP($B163,Seqs!$A:$B,2,0),I163,1),"")</f>
        <v>S</v>
      </c>
      <c r="I163" s="23">
        <v>57</v>
      </c>
      <c r="J163" s="3" t="str">
        <f>IFERROR(MID(VLOOKUP($B163,Seqs!$A:$B,2,0),K163,1),"")</f>
        <v>R</v>
      </c>
      <c r="K163" s="23">
        <v>61</v>
      </c>
      <c r="L163" s="3" t="str">
        <f>IFERROR(MID(VLOOKUP($B163,Seqs!$A:$B,2,0),M163,1),"")</f>
        <v>R</v>
      </c>
      <c r="M163" s="3">
        <v>62</v>
      </c>
      <c r="N163" s="3" t="str">
        <f>IFERROR(MID(VLOOKUP($B163,Seqs!$A:$B,2,0),O163,1),"")</f>
        <v>D</v>
      </c>
      <c r="O163" s="3">
        <v>92</v>
      </c>
      <c r="P163" s="3" t="str">
        <f>IFERROR(MID(VLOOKUP($B163,Seqs!$A:$B,2,0),Q163,1),"")</f>
        <v>D</v>
      </c>
      <c r="Q163" s="3">
        <v>94</v>
      </c>
      <c r="R163" s="3" t="str">
        <f>IFERROR(MID(VLOOKUP($B163,Seqs!$A:$B,2,0),S163,1),"")</f>
        <v>F</v>
      </c>
      <c r="S163" s="3">
        <v>97</v>
      </c>
      <c r="T163" s="3" t="str">
        <f>IFERROR(MID(VLOOKUP($B163,Seqs!$A:$B,2,0),U163,1),"")</f>
        <v>G</v>
      </c>
      <c r="U163" s="3">
        <v>98</v>
      </c>
      <c r="V163" s="3" t="str">
        <f>IFERROR(MID(VLOOKUP($B163,Seqs!$A:$B,2,0),W163,1),"")</f>
        <v>R</v>
      </c>
      <c r="W163" s="3">
        <v>133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141</v>
      </c>
      <c r="AD163" s="3" t="str">
        <f>IFERROR(MID(VLOOKUP($B163,Seqs!$A:$B,2,0),AE163,1),"")</f>
        <v>R</v>
      </c>
      <c r="AE163" s="3">
        <v>168</v>
      </c>
      <c r="AF163" s="3" t="str">
        <f>IFERROR(MID(VLOOKUP($B163,Seqs!$A:$B,2,0),AG163,1),"")</f>
        <v>C</v>
      </c>
      <c r="AG163" s="3">
        <v>181</v>
      </c>
      <c r="AH163" s="3" t="str">
        <f>IFERROR(MID(VLOOKUP($B163,Seqs!$A:$B,2,0),AI163,1),"")</f>
        <v>M</v>
      </c>
      <c r="AI163" s="3">
        <v>183</v>
      </c>
      <c r="AJ163" s="3" t="str">
        <f>IFERROR(MID(VLOOKUP($B163,Seqs!$A:$B,2,0),AK163,1),"")</f>
        <v>S</v>
      </c>
      <c r="AK163" s="3">
        <v>193</v>
      </c>
      <c r="AL163" s="3" t="str">
        <f>IFERROR(MID(VLOOKUP($B163,Seqs!$A:$B,2,0),AM163,1),"")</f>
        <v>A</v>
      </c>
      <c r="AM163" s="3">
        <v>229</v>
      </c>
      <c r="AN163" s="3" t="str">
        <f>IFERROR(MID(VLOOKUP($B163,Seqs!$A:$B,2,0),AO163,1),"")</f>
        <v>R</v>
      </c>
      <c r="AO163" s="3">
        <v>244</v>
      </c>
      <c r="AP163" s="3" t="str">
        <f>IFERROR(MID(VLOOKUP($B163,Seqs!$A:$B,2,0),AQ163,1),"")</f>
        <v>L</v>
      </c>
      <c r="AQ163" s="3">
        <v>276</v>
      </c>
      <c r="AR163" s="3" t="str">
        <f>IFERROR(MID(VLOOKUP($B163,Seqs!$A:$B,2,0),AS163,1),"")</f>
        <v>P</v>
      </c>
      <c r="AS163" s="3">
        <v>280</v>
      </c>
      <c r="AT163" s="3" t="str">
        <f>IFERROR(MID(VLOOKUP($B163,Seqs!$A:$B,2,0),AU163,1),"")</f>
        <v>F</v>
      </c>
      <c r="AU163" s="3">
        <v>312</v>
      </c>
      <c r="AV163" s="3" t="str">
        <f>IFERROR(MID(VLOOKUP($B163,Seqs!$A:$B,2,0),AW163,1),"")</f>
        <v>D</v>
      </c>
      <c r="AW163" s="3">
        <v>313</v>
      </c>
      <c r="AX163" s="3" t="str">
        <f>IFERROR(MID(VLOOKUP($B163,Seqs!$A:$B,2,0),AY163,1),"")</f>
        <v>G</v>
      </c>
      <c r="AY163" s="3">
        <v>327</v>
      </c>
      <c r="AZ163" s="77" t="str">
        <f>VLOOKUP(B163,Classification!A:D,2,0)</f>
        <v>A</v>
      </c>
      <c r="BA163" s="94" t="str">
        <f>VLOOKUP(B163,Classification!A:D,4,0)</f>
        <v>Apelin</v>
      </c>
      <c r="BB163" s="27" t="b">
        <f t="shared" si="1177"/>
        <v>1</v>
      </c>
      <c r="BC163" s="23">
        <f t="shared" si="1178"/>
        <v>254</v>
      </c>
      <c r="BD163" s="2" t="s">
        <v>1370</v>
      </c>
      <c r="BE163" s="3" t="s">
        <v>1368</v>
      </c>
      <c r="BF163" s="118">
        <v>2.6</v>
      </c>
      <c r="BG163" s="49" t="s">
        <v>1275</v>
      </c>
      <c r="BH163" s="49" t="s">
        <v>1275</v>
      </c>
      <c r="BI163" s="1"/>
      <c r="BJ163" s="70" t="s">
        <v>1281</v>
      </c>
      <c r="BK163" s="57" t="s">
        <v>1281</v>
      </c>
      <c r="BL163" s="57" t="s">
        <v>1281</v>
      </c>
      <c r="BM163" s="57" t="s">
        <v>1281</v>
      </c>
      <c r="BN163" s="57" t="s">
        <v>1281</v>
      </c>
      <c r="BO163" s="57" t="s">
        <v>1281</v>
      </c>
      <c r="BP163" s="57" t="s">
        <v>1281</v>
      </c>
      <c r="BQ163" s="57" t="s">
        <v>1281</v>
      </c>
      <c r="BR163" s="57" t="s">
        <v>1281</v>
      </c>
      <c r="BS163" s="57" t="s">
        <v>1281</v>
      </c>
      <c r="BT163" s="57" t="s">
        <v>1281</v>
      </c>
      <c r="BU163" s="57" t="s">
        <v>1281</v>
      </c>
      <c r="BV163" s="70">
        <f t="shared" si="1179"/>
        <v>29</v>
      </c>
      <c r="BW163" s="71">
        <f t="shared" si="1180"/>
        <v>57</v>
      </c>
      <c r="BX163" s="72">
        <f t="shared" si="1181"/>
        <v>62</v>
      </c>
      <c r="BY163" s="71">
        <f t="shared" si="1182"/>
        <v>94</v>
      </c>
      <c r="BZ163" s="72">
        <f t="shared" si="1183"/>
        <v>98</v>
      </c>
      <c r="CA163" s="71" t="str">
        <f t="shared" si="1184"/>
        <v>-</v>
      </c>
      <c r="CB163" s="72">
        <f t="shared" si="1185"/>
        <v>141</v>
      </c>
      <c r="CC163" s="71">
        <f t="shared" si="1186"/>
        <v>181</v>
      </c>
      <c r="CD163" s="72">
        <f t="shared" si="1187"/>
        <v>193</v>
      </c>
      <c r="CE163" s="71">
        <f t="shared" si="1188"/>
        <v>244</v>
      </c>
      <c r="CF163" s="72">
        <f t="shared" si="1189"/>
        <v>280</v>
      </c>
      <c r="CG163" s="71">
        <f t="shared" si="1190"/>
        <v>313</v>
      </c>
      <c r="CH163" s="70">
        <f t="shared" si="1191"/>
        <v>56</v>
      </c>
      <c r="CI163" s="71">
        <f t="shared" si="1192"/>
        <v>61</v>
      </c>
      <c r="CJ163" s="72">
        <f t="shared" si="1193"/>
        <v>92</v>
      </c>
      <c r="CK163" s="72">
        <f t="shared" si="1194"/>
        <v>97</v>
      </c>
      <c r="CL163" s="72">
        <f t="shared" si="1195"/>
        <v>133</v>
      </c>
      <c r="CM163" s="72" t="str">
        <f t="shared" si="1196"/>
        <v>-</v>
      </c>
      <c r="CN163" s="72">
        <f t="shared" si="1197"/>
        <v>168</v>
      </c>
      <c r="CO163" s="72">
        <f t="shared" si="1198"/>
        <v>183</v>
      </c>
      <c r="CP163" s="72">
        <f t="shared" si="1199"/>
        <v>229</v>
      </c>
      <c r="CQ163" s="72">
        <f t="shared" si="1200"/>
        <v>276</v>
      </c>
      <c r="CR163" s="72">
        <f t="shared" si="1201"/>
        <v>312</v>
      </c>
      <c r="CS163" s="72">
        <f t="shared" si="1202"/>
        <v>327</v>
      </c>
      <c r="CT163" s="23">
        <f t="shared" si="1203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 t="shared" ref="A164" si="1260">CONCATENATE(B164,"_",C164)</f>
        <v>apj_human_6KNM</v>
      </c>
      <c r="B164" s="9" t="s">
        <v>160</v>
      </c>
      <c r="C164" s="9" t="s">
        <v>1638</v>
      </c>
      <c r="D164" s="9" t="str">
        <f>IFERROR(MID(VLOOKUP($B164,Seqs!$A:$B,2,0),E164,1),"")</f>
        <v>A</v>
      </c>
      <c r="E164" s="9">
        <v>29</v>
      </c>
      <c r="F164" s="9" t="str">
        <f>IFERROR(MID(VLOOKUP($B164,Seqs!$A:$B,2,0),G164,1),"")</f>
        <v>R</v>
      </c>
      <c r="G164" s="9">
        <v>55</v>
      </c>
      <c r="H164" s="9" t="str">
        <f>IFERROR(MID(VLOOKUP($B164,Seqs!$A:$B,2,0),I164,1),"")</f>
        <v/>
      </c>
      <c r="I164" s="109" t="s">
        <v>23</v>
      </c>
      <c r="J164" s="9" t="str">
        <f>IFERROR(MID(VLOOKUP($B164,Seqs!$A:$B,2,0),K164,1),"")</f>
        <v/>
      </c>
      <c r="K164" s="109" t="s">
        <v>23</v>
      </c>
      <c r="L164" s="9" t="str">
        <f>IFERROR(MID(VLOOKUP($B164,Seqs!$A:$B,2,0),M164,1),"")</f>
        <v>D</v>
      </c>
      <c r="M164" s="9">
        <v>65</v>
      </c>
      <c r="N164" s="9" t="str">
        <f>IFERROR(MID(VLOOKUP($B164,Seqs!$A:$B,2,0),O164,1),"")</f>
        <v>D</v>
      </c>
      <c r="O164" s="9">
        <v>92</v>
      </c>
      <c r="P164" s="9" t="str">
        <f>IFERROR(MID(VLOOKUP($B164,Seqs!$A:$B,2,0),Q164,1),"")</f>
        <v>D</v>
      </c>
      <c r="Q164" s="9">
        <v>94</v>
      </c>
      <c r="R164" s="9" t="str">
        <f>IFERROR(MID(VLOOKUP($B164,Seqs!$A:$B,2,0),S164,1),"")</f>
        <v>F</v>
      </c>
      <c r="S164" s="9">
        <v>97</v>
      </c>
      <c r="T164" s="9" t="str">
        <f>IFERROR(MID(VLOOKUP($B164,Seqs!$A:$B,2,0),U164,1),"")</f>
        <v>G</v>
      </c>
      <c r="U164" s="9">
        <v>98</v>
      </c>
      <c r="V164" s="9" t="str">
        <f>IFERROR(MID(VLOOKUP($B164,Seqs!$A:$B,2,0),W164,1),"")</f>
        <v>R</v>
      </c>
      <c r="W164" s="9">
        <v>133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R</v>
      </c>
      <c r="AC164" s="9">
        <v>141</v>
      </c>
      <c r="AD164" s="9" t="str">
        <f>IFERROR(MID(VLOOKUP($B164,Seqs!$A:$B,2,0),AE164,1),"")</f>
        <v>R</v>
      </c>
      <c r="AE164" s="9">
        <v>168</v>
      </c>
      <c r="AF164" s="9" t="str">
        <f>IFERROR(MID(VLOOKUP($B164,Seqs!$A:$B,2,0),AG164,1),"")</f>
        <v>C</v>
      </c>
      <c r="AG164" s="9">
        <v>181</v>
      </c>
      <c r="AH164" s="9" t="str">
        <f>IFERROR(MID(VLOOKUP($B164,Seqs!$A:$B,2,0),AI164,1),"")</f>
        <v>M</v>
      </c>
      <c r="AI164" s="9">
        <v>183</v>
      </c>
      <c r="AJ164" s="9" t="str">
        <f>IFERROR(MID(VLOOKUP($B164,Seqs!$A:$B,2,0),AK164,1),"")</f>
        <v>S</v>
      </c>
      <c r="AK164" s="9">
        <v>193</v>
      </c>
      <c r="AL164" s="9" t="str">
        <f>IFERROR(MID(VLOOKUP($B164,Seqs!$A:$B,2,0),AM164,1),"")</f>
        <v>I</v>
      </c>
      <c r="AM164" s="9">
        <v>228</v>
      </c>
      <c r="AN164" s="9" t="str">
        <f>IFERROR(MID(VLOOKUP($B164,Seqs!$A:$B,2,0),AO164,1),"")</f>
        <v>R</v>
      </c>
      <c r="AO164" s="9">
        <v>245</v>
      </c>
      <c r="AP164" s="9" t="str">
        <f>IFERROR(MID(VLOOKUP($B164,Seqs!$A:$B,2,0),AQ164,1),"")</f>
        <v>L</v>
      </c>
      <c r="AQ164" s="9">
        <v>276</v>
      </c>
      <c r="AR164" s="9" t="str">
        <f>IFERROR(MID(VLOOKUP($B164,Seqs!$A:$B,2,0),AS164,1),"")</f>
        <v>P</v>
      </c>
      <c r="AS164" s="9">
        <v>280</v>
      </c>
      <c r="AT164" s="9" t="str">
        <f>IFERROR(MID(VLOOKUP($B164,Seqs!$A:$B,2,0),AU164,1),"")</f>
        <v>F</v>
      </c>
      <c r="AU164" s="9">
        <v>312</v>
      </c>
      <c r="AV164" s="9" t="str">
        <f>IFERROR(MID(VLOOKUP($B164,Seqs!$A:$B,2,0),AW164,1),"")</f>
        <v>D</v>
      </c>
      <c r="AW164" s="9">
        <v>313</v>
      </c>
      <c r="AX164" s="9" t="str">
        <f>IFERROR(MID(VLOOKUP($B164,Seqs!$A:$B,2,0),AY164,1),"")</f>
        <v>C</v>
      </c>
      <c r="AY164" s="9">
        <v>326</v>
      </c>
      <c r="AZ164" s="110" t="str">
        <f>VLOOKUP(B164,Classification!A:D,2,0)</f>
        <v>A</v>
      </c>
      <c r="BA164" s="98" t="str">
        <f>VLOOKUP(B164,Classification!A:D,4,0)</f>
        <v>Apelin</v>
      </c>
      <c r="BB164" s="36" t="b">
        <f t="shared" ref="BB164" si="1261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09">
        <f t="shared" ref="BC164" si="1262">_xlfn.AGGREGATE(9,6,CH164:CS164)-_xlfn.AGGREGATE(9,6,BV164:CG164)+12</f>
        <v>243</v>
      </c>
      <c r="BD164" s="40" t="s">
        <v>23</v>
      </c>
      <c r="BE164" s="9" t="s">
        <v>1368</v>
      </c>
      <c r="BF164" s="119">
        <v>3.2</v>
      </c>
      <c r="BG164" s="51" t="s">
        <v>1275</v>
      </c>
      <c r="BH164" s="51" t="s">
        <v>1275</v>
      </c>
      <c r="BJ164" s="111" t="s">
        <v>1281</v>
      </c>
      <c r="BK164" s="112" t="s">
        <v>1281</v>
      </c>
      <c r="BL164" s="112" t="s">
        <v>1281</v>
      </c>
      <c r="BM164" s="112" t="s">
        <v>1281</v>
      </c>
      <c r="BN164" s="112" t="s">
        <v>1281</v>
      </c>
      <c r="BO164" s="112" t="s">
        <v>1281</v>
      </c>
      <c r="BP164" s="112" t="s">
        <v>1281</v>
      </c>
      <c r="BQ164" s="112" t="s">
        <v>1281</v>
      </c>
      <c r="BR164" s="112" t="s">
        <v>1281</v>
      </c>
      <c r="BS164" s="112" t="s">
        <v>1281</v>
      </c>
      <c r="BT164" s="112" t="s">
        <v>1281</v>
      </c>
      <c r="BU164" s="112" t="s">
        <v>1281</v>
      </c>
      <c r="BV164" s="111">
        <f t="shared" ref="BV164" si="1263">E164</f>
        <v>29</v>
      </c>
      <c r="BW164" s="113" t="str">
        <f t="shared" ref="BW164" si="1264">I164</f>
        <v>-</v>
      </c>
      <c r="BX164" s="114">
        <f t="shared" ref="BX164" si="1265">M164</f>
        <v>65</v>
      </c>
      <c r="BY164" s="113">
        <f t="shared" ref="BY164" si="1266">Q164</f>
        <v>94</v>
      </c>
      <c r="BZ164" s="114">
        <f t="shared" ref="BZ164" si="1267">U164</f>
        <v>98</v>
      </c>
      <c r="CA164" s="113" t="str">
        <f t="shared" ref="CA164" si="1268">Y164</f>
        <v>-</v>
      </c>
      <c r="CB164" s="114">
        <f t="shared" ref="CB164" si="1269">AC164</f>
        <v>141</v>
      </c>
      <c r="CC164" s="113">
        <f t="shared" ref="CC164" si="1270">AG164</f>
        <v>181</v>
      </c>
      <c r="CD164" s="114">
        <f t="shared" ref="CD164" si="1271">AK164</f>
        <v>193</v>
      </c>
      <c r="CE164" s="113">
        <f t="shared" ref="CE164" si="1272">AO164</f>
        <v>245</v>
      </c>
      <c r="CF164" s="114">
        <f t="shared" ref="CF164" si="1273">AS164</f>
        <v>280</v>
      </c>
      <c r="CG164" s="113">
        <f t="shared" ref="CG164" si="1274">AW164</f>
        <v>313</v>
      </c>
      <c r="CH164" s="111">
        <f t="shared" ref="CH164" si="1275">G164</f>
        <v>55</v>
      </c>
      <c r="CI164" s="113" t="str">
        <f t="shared" ref="CI164" si="1276">K164</f>
        <v>-</v>
      </c>
      <c r="CJ164" s="114">
        <f t="shared" ref="CJ164" si="1277">O164</f>
        <v>92</v>
      </c>
      <c r="CK164" s="114">
        <f t="shared" ref="CK164" si="1278">S164</f>
        <v>97</v>
      </c>
      <c r="CL164" s="114">
        <f t="shared" ref="CL164" si="1279">W164</f>
        <v>133</v>
      </c>
      <c r="CM164" s="114" t="str">
        <f t="shared" ref="CM164" si="1280">AA164</f>
        <v>-</v>
      </c>
      <c r="CN164" s="114">
        <f t="shared" ref="CN164" si="1281">AE164</f>
        <v>168</v>
      </c>
      <c r="CO164" s="114">
        <f t="shared" ref="CO164" si="1282">AI164</f>
        <v>183</v>
      </c>
      <c r="CP164" s="114">
        <f t="shared" ref="CP164" si="1283">AM164</f>
        <v>228</v>
      </c>
      <c r="CQ164" s="114">
        <f t="shared" ref="CQ164" si="1284">AQ164</f>
        <v>276</v>
      </c>
      <c r="CR164" s="114">
        <f t="shared" ref="CR164" si="1285">AU164</f>
        <v>312</v>
      </c>
      <c r="CS164" s="114">
        <f t="shared" ref="CS164" si="1286">AY164</f>
        <v>326</v>
      </c>
      <c r="CT164" s="109" t="e">
        <f t="shared" ref="CT164" si="1287">M164-K164</f>
        <v>#VALUE!</v>
      </c>
    </row>
    <row r="165" spans="1:1030" x14ac:dyDescent="0.2">
      <c r="A165" s="3" t="str">
        <f t="shared" si="1176"/>
        <v>c5ar1_human__wt</v>
      </c>
      <c r="B165" s="3" t="s">
        <v>165</v>
      </c>
      <c r="C165" s="3" t="s">
        <v>100</v>
      </c>
      <c r="D165" s="3" t="str">
        <f>IFERROR(MID(VLOOKUP($B165,Seqs!$A:$B,2,0),E165,1),"")</f>
        <v>R</v>
      </c>
      <c r="E165" s="3">
        <v>34</v>
      </c>
      <c r="F165" s="3" t="str">
        <f>IFERROR(MID(VLOOKUP($B165,Seqs!$A:$B,2,0),G165,1),"")</f>
        <v>E</v>
      </c>
      <c r="G165" s="3">
        <v>65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69</v>
      </c>
      <c r="N165" s="3" t="str">
        <f>IFERROR(MID(VLOOKUP($B165,Seqs!$A:$B,2,0),O165,1),"")</f>
        <v>H</v>
      </c>
      <c r="O165" s="3">
        <v>99</v>
      </c>
      <c r="P165" s="3" t="str">
        <f>IFERROR(MID(VLOOKUP($B165,Seqs!$A:$B,2,0),Q165,1),"")</f>
        <v>H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K</v>
      </c>
      <c r="W165" s="3">
        <v>140</v>
      </c>
      <c r="X165" s="3" t="str">
        <f>IFERROR(MID(VLOOKUP($B165,Seqs!$A:$B,2,0),Y165,1),"")</f>
        <v>P</v>
      </c>
      <c r="Y165" s="3">
        <v>141</v>
      </c>
      <c r="Z165" s="3" t="str">
        <f>IFERROR(MID(VLOOKUP($B165,Seqs!$A:$B,2,0),AA165,1),"")</f>
        <v>R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R</v>
      </c>
      <c r="AE165" s="3">
        <v>175</v>
      </c>
      <c r="AF165" s="3" t="str">
        <f>IFERROR(MID(VLOOKUP($B165,Seqs!$A:$B,2,0),AG165,1),"")</f>
        <v>C</v>
      </c>
      <c r="AG165" s="3">
        <v>188</v>
      </c>
      <c r="AH165" s="3" t="str">
        <f>IFERROR(MID(VLOOKUP($B165,Seqs!$A:$B,2,0),AI165,1),"")</f>
        <v>V</v>
      </c>
      <c r="AI165" s="3">
        <v>190</v>
      </c>
      <c r="AJ165" s="3" t="str">
        <f>IFERROR(MID(VLOOKUP($B165,Seqs!$A:$B,2,0),AK165,1),"")</f>
        <v>D</v>
      </c>
      <c r="AK165" s="3">
        <v>195</v>
      </c>
      <c r="AL165" s="3" t="str">
        <f>IFERROR(MID(VLOOKUP($B165,Seqs!$A:$B,2,0),AM165,1),"")</f>
        <v>R</v>
      </c>
      <c r="AM165" s="3">
        <v>232</v>
      </c>
      <c r="AN165" s="3" t="str">
        <f>IFERROR(MID(VLOOKUP($B165,Seqs!$A:$B,2,0),AO165,1),"")</f>
        <v>T</v>
      </c>
      <c r="AO165" s="3">
        <v>238</v>
      </c>
      <c r="AP165" s="3" t="str">
        <f>IFERROR(MID(VLOOKUP($B165,Seqs!$A:$B,2,0),AQ165,1),"")</f>
        <v>L</v>
      </c>
      <c r="AQ165" s="3">
        <v>268</v>
      </c>
      <c r="AR165" s="3" t="str">
        <f>IFERROR(MID(VLOOKUP($B165,Seqs!$A:$B,2,0),AS165,1),"")</f>
        <v>S</v>
      </c>
      <c r="AS165" s="3">
        <v>272</v>
      </c>
      <c r="AT165" s="3" t="str">
        <f>IFERROR(MID(VLOOKUP($B165,Seqs!$A:$B,2,0),AU165,1),"")</f>
        <v>A</v>
      </c>
      <c r="AU165" s="3">
        <v>303</v>
      </c>
      <c r="AV165" s="3" t="str">
        <f>IFERROR(MID(VLOOKUP($B165,Seqs!$A:$B,2,0),AW165,1),"")</f>
        <v>G</v>
      </c>
      <c r="AW165" s="3">
        <v>304</v>
      </c>
      <c r="AX165" s="3" t="str">
        <f>IFERROR(MID(VLOOKUP($B165,Seqs!$A:$B,2,0),AY165,1),"")</f>
        <v>K</v>
      </c>
      <c r="AY165" s="3">
        <v>313</v>
      </c>
      <c r="AZ165" s="77" t="str">
        <f>VLOOKUP(B165,Classification!A:D,2,0)</f>
        <v>A</v>
      </c>
      <c r="BA165" s="94" t="str">
        <f>VLOOKUP(B165,Classification!A:D,4,0)</f>
        <v>Complementpeptide</v>
      </c>
      <c r="BB165" s="27" t="b">
        <f t="shared" si="1177"/>
        <v>1</v>
      </c>
      <c r="BC165" s="23">
        <f t="shared" si="1178"/>
        <v>253</v>
      </c>
      <c r="BD165" s="2" t="s">
        <v>23</v>
      </c>
      <c r="BE165" s="3" t="s">
        <v>1368</v>
      </c>
      <c r="BF165" s="118" t="s">
        <v>23</v>
      </c>
      <c r="BI165" s="1"/>
      <c r="BJ165" s="70" t="s">
        <v>1281</v>
      </c>
      <c r="BK165" s="57" t="s">
        <v>1281</v>
      </c>
      <c r="BL165" s="57" t="s">
        <v>1281</v>
      </c>
      <c r="BM165" s="57" t="s">
        <v>1281</v>
      </c>
      <c r="BN165" s="57" t="s">
        <v>1281</v>
      </c>
      <c r="BO165" s="57" t="s">
        <v>1281</v>
      </c>
      <c r="BP165" s="57" t="s">
        <v>1281</v>
      </c>
      <c r="BQ165" s="57" t="s">
        <v>1281</v>
      </c>
      <c r="BR165" s="57" t="s">
        <v>1281</v>
      </c>
      <c r="BS165" s="57" t="s">
        <v>1281</v>
      </c>
      <c r="BT165" s="57" t="s">
        <v>1281</v>
      </c>
      <c r="BU165" s="57" t="s">
        <v>1281</v>
      </c>
      <c r="BV165" s="70">
        <f t="shared" si="1179"/>
        <v>34</v>
      </c>
      <c r="BW165" s="71" t="str">
        <f t="shared" si="1180"/>
        <v>-</v>
      </c>
      <c r="BX165" s="72">
        <f t="shared" si="1181"/>
        <v>69</v>
      </c>
      <c r="BY165" s="71">
        <f t="shared" si="1182"/>
        <v>101</v>
      </c>
      <c r="BZ165" s="72">
        <f t="shared" si="1183"/>
        <v>105</v>
      </c>
      <c r="CA165" s="71">
        <f t="shared" si="1184"/>
        <v>141</v>
      </c>
      <c r="CB165" s="72">
        <f t="shared" si="1185"/>
        <v>149</v>
      </c>
      <c r="CC165" s="71">
        <f t="shared" si="1186"/>
        <v>188</v>
      </c>
      <c r="CD165" s="72">
        <f t="shared" si="1187"/>
        <v>195</v>
      </c>
      <c r="CE165" s="71">
        <f t="shared" si="1188"/>
        <v>238</v>
      </c>
      <c r="CF165" s="72">
        <f t="shared" si="1189"/>
        <v>272</v>
      </c>
      <c r="CG165" s="71">
        <f t="shared" si="1190"/>
        <v>304</v>
      </c>
      <c r="CH165" s="70">
        <f t="shared" si="1191"/>
        <v>65</v>
      </c>
      <c r="CI165" s="71" t="str">
        <f t="shared" si="1192"/>
        <v>-</v>
      </c>
      <c r="CJ165" s="72">
        <f t="shared" si="1193"/>
        <v>99</v>
      </c>
      <c r="CK165" s="72">
        <f t="shared" si="1194"/>
        <v>104</v>
      </c>
      <c r="CL165" s="72">
        <f t="shared" si="1195"/>
        <v>140</v>
      </c>
      <c r="CM165" s="72">
        <f t="shared" si="1196"/>
        <v>148</v>
      </c>
      <c r="CN165" s="72">
        <f t="shared" si="1197"/>
        <v>175</v>
      </c>
      <c r="CO165" s="72">
        <f t="shared" si="1198"/>
        <v>190</v>
      </c>
      <c r="CP165" s="72">
        <f t="shared" si="1199"/>
        <v>232</v>
      </c>
      <c r="CQ165" s="72">
        <f t="shared" si="1200"/>
        <v>268</v>
      </c>
      <c r="CR165" s="72">
        <f t="shared" si="1201"/>
        <v>303</v>
      </c>
      <c r="CS165" s="72">
        <f t="shared" si="1202"/>
        <v>313</v>
      </c>
      <c r="CT165" s="23" t="e">
        <f t="shared" si="1203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176"/>
        <v>c5ar1_human_5O9H</v>
      </c>
      <c r="B166" s="3" t="s">
        <v>165</v>
      </c>
      <c r="C166" s="3" t="s">
        <v>1473</v>
      </c>
      <c r="D166" s="3" t="str">
        <f>IFERROR(MID(VLOOKUP($B166,Seqs!$A:$B,2,0),E166,1),"")</f>
        <v>R</v>
      </c>
      <c r="E166" s="3">
        <v>34</v>
      </c>
      <c r="F166" s="3" t="str">
        <f>IFERROR(MID(VLOOKUP($B166,Seqs!$A:$B,2,0),G166,1),"")</f>
        <v>E</v>
      </c>
      <c r="G166" s="3">
        <v>65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69</v>
      </c>
      <c r="N166" s="3" t="str">
        <f>IFERROR(MID(VLOOKUP($B166,Seqs!$A:$B,2,0),O166,1),"")</f>
        <v>H</v>
      </c>
      <c r="O166" s="3">
        <v>99</v>
      </c>
      <c r="P166" s="3" t="str">
        <f>IFERROR(MID(VLOOKUP($B166,Seqs!$A:$B,2,0),Q166,1),"")</f>
        <v>H</v>
      </c>
      <c r="Q166" s="3">
        <v>101</v>
      </c>
      <c r="R166" s="3" t="str">
        <f>IFERROR(MID(VLOOKUP($B166,Seqs!$A:$B,2,0),S166,1),"")</f>
        <v>F</v>
      </c>
      <c r="S166" s="3">
        <v>104</v>
      </c>
      <c r="T166" s="3" t="str">
        <f>IFERROR(MID(VLOOKUP($B166,Seqs!$A:$B,2,0),U166,1),"")</f>
        <v>G</v>
      </c>
      <c r="U166" s="3">
        <v>105</v>
      </c>
      <c r="V166" s="3" t="str">
        <f>IFERROR(MID(VLOOKUP($B166,Seqs!$A:$B,2,0),W166,1),"")</f>
        <v>K</v>
      </c>
      <c r="W166" s="3">
        <v>140</v>
      </c>
      <c r="X166" s="3" t="str">
        <f>IFERROR(MID(VLOOKUP($B166,Seqs!$A:$B,2,0),Y166,1),"")</f>
        <v>P</v>
      </c>
      <c r="Y166" s="3">
        <v>141</v>
      </c>
      <c r="Z166" s="3" t="str">
        <f>IFERROR(MID(VLOOKUP($B166,Seqs!$A:$B,2,0),AA166,1),"")</f>
        <v>R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R</v>
      </c>
      <c r="AE166" s="3">
        <v>175</v>
      </c>
      <c r="AF166" s="3" t="str">
        <f>IFERROR(MID(VLOOKUP($B166,Seqs!$A:$B,2,0),AG166,1),"")</f>
        <v>C</v>
      </c>
      <c r="AG166" s="3">
        <v>188</v>
      </c>
      <c r="AH166" s="3" t="str">
        <f>IFERROR(MID(VLOOKUP($B166,Seqs!$A:$B,2,0),AI166,1),"")</f>
        <v>V</v>
      </c>
      <c r="AI166" s="3">
        <v>190</v>
      </c>
      <c r="AJ166" s="3" t="str">
        <f>IFERROR(MID(VLOOKUP($B166,Seqs!$A:$B,2,0),AK166,1),"")</f>
        <v>D</v>
      </c>
      <c r="AK166" s="3">
        <v>195</v>
      </c>
      <c r="AL166" s="3" t="str">
        <f>IFERROR(MID(VLOOKUP($B166,Seqs!$A:$B,2,0),AM166,1),"")</f>
        <v>R</v>
      </c>
      <c r="AM166" s="3">
        <v>232</v>
      </c>
      <c r="AN166" s="3" t="str">
        <f>IFERROR(MID(VLOOKUP($B166,Seqs!$A:$B,2,0),AO166,1),"")</f>
        <v>T</v>
      </c>
      <c r="AO166" s="3">
        <v>238</v>
      </c>
      <c r="AP166" s="3" t="str">
        <f>IFERROR(MID(VLOOKUP($B166,Seqs!$A:$B,2,0),AQ166,1),"")</f>
        <v>L</v>
      </c>
      <c r="AQ166" s="3">
        <v>268</v>
      </c>
      <c r="AR166" s="3" t="str">
        <f>IFERROR(MID(VLOOKUP($B166,Seqs!$A:$B,2,0),AS166,1),"")</f>
        <v>S</v>
      </c>
      <c r="AS166" s="3">
        <v>272</v>
      </c>
      <c r="AT166" s="3" t="str">
        <f>IFERROR(MID(VLOOKUP($B166,Seqs!$A:$B,2,0),AU166,1),"")</f>
        <v>F</v>
      </c>
      <c r="AU166" s="3">
        <v>307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Complementpeptide</v>
      </c>
      <c r="BB166" s="27" t="b">
        <f t="shared" si="1177"/>
        <v>1</v>
      </c>
      <c r="BC166" s="23">
        <f t="shared" si="1178"/>
        <v>248</v>
      </c>
      <c r="BD166" s="2" t="s">
        <v>1370</v>
      </c>
      <c r="BE166" s="3" t="s">
        <v>1368</v>
      </c>
      <c r="BF166" s="118">
        <v>2.7</v>
      </c>
      <c r="BG166" s="49" t="s">
        <v>1</v>
      </c>
      <c r="BH166" s="49" t="s">
        <v>1</v>
      </c>
      <c r="BI166" s="1"/>
      <c r="BJ166" s="70" t="s">
        <v>1281</v>
      </c>
      <c r="BK166" s="57" t="s">
        <v>1281</v>
      </c>
      <c r="BL166" s="57" t="s">
        <v>1281</v>
      </c>
      <c r="BM166" s="57" t="s">
        <v>1281</v>
      </c>
      <c r="BN166" s="57" t="s">
        <v>1281</v>
      </c>
      <c r="BO166" s="57" t="s">
        <v>1281</v>
      </c>
      <c r="BP166" s="57" t="s">
        <v>1281</v>
      </c>
      <c r="BQ166" s="57" t="s">
        <v>1281</v>
      </c>
      <c r="BR166" s="57" t="s">
        <v>1281</v>
      </c>
      <c r="BS166" s="57" t="s">
        <v>1281</v>
      </c>
      <c r="BT166" s="57" t="s">
        <v>1281</v>
      </c>
      <c r="BU166" s="57" t="s">
        <v>1281</v>
      </c>
      <c r="BV166" s="70">
        <f t="shared" si="1179"/>
        <v>34</v>
      </c>
      <c r="BW166" s="71" t="str">
        <f t="shared" si="1180"/>
        <v>-</v>
      </c>
      <c r="BX166" s="72">
        <f t="shared" si="1181"/>
        <v>69</v>
      </c>
      <c r="BY166" s="71">
        <f t="shared" si="1182"/>
        <v>101</v>
      </c>
      <c r="BZ166" s="72">
        <f t="shared" si="1183"/>
        <v>105</v>
      </c>
      <c r="CA166" s="71">
        <f t="shared" si="1184"/>
        <v>141</v>
      </c>
      <c r="CB166" s="72">
        <f t="shared" si="1185"/>
        <v>149</v>
      </c>
      <c r="CC166" s="71">
        <f t="shared" si="1186"/>
        <v>188</v>
      </c>
      <c r="CD166" s="72">
        <f t="shared" si="1187"/>
        <v>195</v>
      </c>
      <c r="CE166" s="71">
        <f t="shared" si="1188"/>
        <v>238</v>
      </c>
      <c r="CF166" s="72">
        <f t="shared" si="1189"/>
        <v>272</v>
      </c>
      <c r="CG166" s="71" t="str">
        <f t="shared" si="1190"/>
        <v>-</v>
      </c>
      <c r="CH166" s="70">
        <f t="shared" si="1191"/>
        <v>65</v>
      </c>
      <c r="CI166" s="71" t="str">
        <f t="shared" si="1192"/>
        <v>-</v>
      </c>
      <c r="CJ166" s="72">
        <f t="shared" si="1193"/>
        <v>99</v>
      </c>
      <c r="CK166" s="72">
        <f t="shared" si="1194"/>
        <v>104</v>
      </c>
      <c r="CL166" s="72">
        <f t="shared" si="1195"/>
        <v>140</v>
      </c>
      <c r="CM166" s="72">
        <f t="shared" si="1196"/>
        <v>148</v>
      </c>
      <c r="CN166" s="72">
        <f t="shared" si="1197"/>
        <v>175</v>
      </c>
      <c r="CO166" s="72">
        <f t="shared" si="1198"/>
        <v>190</v>
      </c>
      <c r="CP166" s="72">
        <f t="shared" si="1199"/>
        <v>232</v>
      </c>
      <c r="CQ166" s="72">
        <f t="shared" si="1200"/>
        <v>268</v>
      </c>
      <c r="CR166" s="72">
        <f t="shared" si="1201"/>
        <v>307</v>
      </c>
      <c r="CS166" s="72" t="str">
        <f t="shared" si="1202"/>
        <v>-</v>
      </c>
      <c r="CT166" s="23" t="e">
        <f t="shared" si="1203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176"/>
        <v>c5ar1_human_6C1Q</v>
      </c>
      <c r="B167" s="3" t="s">
        <v>165</v>
      </c>
      <c r="C167" s="3" t="s">
        <v>1492</v>
      </c>
      <c r="D167" s="3" t="str">
        <f>IFERROR(MID(VLOOKUP($B167,Seqs!$A:$B,2,0),E167,1),"")</f>
        <v>M</v>
      </c>
      <c r="E167" s="3">
        <v>120</v>
      </c>
      <c r="F167" s="3" t="str">
        <f>IFERROR(MID(VLOOKUP($B167,Seqs!$A:$B,2,0),G167,1),"")</f>
        <v>G</v>
      </c>
      <c r="G167" s="3">
        <v>151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I</v>
      </c>
      <c r="M167" s="3">
        <v>155</v>
      </c>
      <c r="N167" s="3" t="str">
        <f>IFERROR(MID(VLOOKUP($B167,Seqs!$A:$B,2,0),O167,1),"")</f>
        <v>K</v>
      </c>
      <c r="O167" s="3">
        <v>185</v>
      </c>
      <c r="P167" s="3" t="str">
        <f>IFERROR(MID(VLOOKUP($B167,Seqs!$A:$B,2,0),Q167,1),"")</f>
        <v>L</v>
      </c>
      <c r="Q167" s="3">
        <v>187</v>
      </c>
      <c r="R167" s="3" t="str">
        <f>IFERROR(MID(VLOOKUP($B167,Seqs!$A:$B,2,0),S167,1),"")</f>
        <v>V</v>
      </c>
      <c r="S167" s="3">
        <v>190</v>
      </c>
      <c r="T167" s="3" t="str">
        <f>IFERROR(MID(VLOOKUP($B167,Seqs!$A:$B,2,0),U167,1),"")</f>
        <v>D</v>
      </c>
      <c r="U167" s="3">
        <v>191</v>
      </c>
      <c r="V167" s="3" t="str">
        <f>IFERROR(MID(VLOOKUP($B167,Seqs!$A:$B,2,0),W167,1),"")</f>
        <v>L</v>
      </c>
      <c r="W167" s="3">
        <v>226</v>
      </c>
      <c r="X167" s="3" t="str">
        <f>IFERROR(MID(VLOOKUP($B167,Seqs!$A:$B,2,0),Y167,1),"")</f>
        <v>L</v>
      </c>
      <c r="Y167" s="3">
        <v>227</v>
      </c>
      <c r="Z167" s="3" t="str">
        <f>IFERROR(MID(VLOOKUP($B167,Seqs!$A:$B,2,0),AA167,1),"")</f>
        <v>A</v>
      </c>
      <c r="AA167" s="3">
        <v>234</v>
      </c>
      <c r="AB167" s="3" t="str">
        <f>IFERROR(MID(VLOOKUP($B167,Seqs!$A:$B,2,0),AC167,1),"")</f>
        <v>T</v>
      </c>
      <c r="AC167" s="3">
        <v>235</v>
      </c>
      <c r="AD167" s="3" t="str">
        <f>IFERROR(MID(VLOOKUP($B167,Seqs!$A:$B,2,0),AE167,1),"")</f>
        <v>T</v>
      </c>
      <c r="AE167" s="3">
        <v>261</v>
      </c>
      <c r="AF167" s="3" t="str">
        <f>IFERROR(MID(VLOOKUP($B167,Seqs!$A:$B,2,0),AG167,1),"")</f>
        <v>T</v>
      </c>
      <c r="AG167" s="3">
        <v>274</v>
      </c>
      <c r="AH167" s="3" t="str">
        <f>IFERROR(MID(VLOOKUP($B167,Seqs!$A:$B,2,0),AI167,1),"")</f>
        <v>L</v>
      </c>
      <c r="AI167" s="3">
        <v>276</v>
      </c>
      <c r="AJ167" s="3" t="str">
        <f>IFERROR(MID(VLOOKUP($B167,Seqs!$A:$B,2,0),AK167,1),"")</f>
        <v>L</v>
      </c>
      <c r="AK167" s="3">
        <v>281</v>
      </c>
      <c r="AL167" s="3" t="str">
        <f>IFERROR(MID(VLOOKUP($B167,Seqs!$A:$B,2,0),AM167,1),"")</f>
        <v>L</v>
      </c>
      <c r="AM167" s="3">
        <v>318</v>
      </c>
      <c r="AN167" s="3" t="str">
        <f>IFERROR(MID(VLOOKUP($B167,Seqs!$A:$B,2,0),AO167,1),"")</f>
        <v>L</v>
      </c>
      <c r="AO167" s="3">
        <v>323</v>
      </c>
      <c r="AP167" s="3" t="str">
        <f>IFERROR(MID(VLOOKUP($B167,Seqs!$A:$B,2,0),AQ167,1),"")</f>
        <v/>
      </c>
      <c r="AQ167" s="3">
        <v>354</v>
      </c>
      <c r="AR167" s="3" t="str">
        <f>IFERROR(MID(VLOOKUP($B167,Seqs!$A:$B,2,0),AS167,1),"")</f>
        <v/>
      </c>
      <c r="AS167" s="3">
        <v>358</v>
      </c>
      <c r="AT167" s="3" t="str">
        <f>IFERROR(MID(VLOOKUP($B167,Seqs!$A:$B,2,0),AU167,1),"")</f>
        <v/>
      </c>
      <c r="AU167" s="3">
        <v>394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Complementpeptide</v>
      </c>
      <c r="BB167" s="27" t="b">
        <f t="shared" si="1177"/>
        <v>1</v>
      </c>
      <c r="BC167" s="23">
        <f t="shared" si="1178"/>
        <v>250</v>
      </c>
      <c r="BD167" s="2" t="s">
        <v>23</v>
      </c>
      <c r="BE167" s="3" t="s">
        <v>1368</v>
      </c>
      <c r="BF167" s="118">
        <v>2.9</v>
      </c>
      <c r="BG167" s="49" t="s">
        <v>1275</v>
      </c>
      <c r="BH167" s="49" t="s">
        <v>1275</v>
      </c>
      <c r="BI167" s="1"/>
      <c r="BJ167" s="70" t="s">
        <v>1281</v>
      </c>
      <c r="BK167" s="57" t="s">
        <v>1281</v>
      </c>
      <c r="BL167" s="57" t="s">
        <v>1281</v>
      </c>
      <c r="BM167" s="57" t="s">
        <v>1281</v>
      </c>
      <c r="BN167" s="57" t="s">
        <v>1281</v>
      </c>
      <c r="BO167" s="57" t="s">
        <v>1281</v>
      </c>
      <c r="BP167" s="57" t="s">
        <v>1281</v>
      </c>
      <c r="BQ167" s="57" t="s">
        <v>1281</v>
      </c>
      <c r="BR167" s="57" t="s">
        <v>1281</v>
      </c>
      <c r="BS167" s="57" t="s">
        <v>1281</v>
      </c>
      <c r="BT167" s="57" t="s">
        <v>1281</v>
      </c>
      <c r="BU167" s="57" t="s">
        <v>1281</v>
      </c>
      <c r="BV167" s="70">
        <f t="shared" si="1179"/>
        <v>120</v>
      </c>
      <c r="BW167" s="71" t="str">
        <f t="shared" si="1180"/>
        <v>-</v>
      </c>
      <c r="BX167" s="72">
        <f t="shared" si="1181"/>
        <v>155</v>
      </c>
      <c r="BY167" s="71">
        <f t="shared" si="1182"/>
        <v>187</v>
      </c>
      <c r="BZ167" s="72">
        <f t="shared" si="1183"/>
        <v>191</v>
      </c>
      <c r="CA167" s="71">
        <f t="shared" si="1184"/>
        <v>227</v>
      </c>
      <c r="CB167" s="72">
        <f t="shared" si="1185"/>
        <v>235</v>
      </c>
      <c r="CC167" s="71">
        <f t="shared" si="1186"/>
        <v>274</v>
      </c>
      <c r="CD167" s="72">
        <f t="shared" si="1187"/>
        <v>281</v>
      </c>
      <c r="CE167" s="71">
        <f t="shared" si="1188"/>
        <v>323</v>
      </c>
      <c r="CF167" s="72">
        <f t="shared" si="1189"/>
        <v>358</v>
      </c>
      <c r="CG167" s="71" t="str">
        <f t="shared" si="1190"/>
        <v>-</v>
      </c>
      <c r="CH167" s="70">
        <f t="shared" si="1191"/>
        <v>151</v>
      </c>
      <c r="CI167" s="71" t="str">
        <f t="shared" si="1192"/>
        <v>-</v>
      </c>
      <c r="CJ167" s="72">
        <f t="shared" si="1193"/>
        <v>185</v>
      </c>
      <c r="CK167" s="72">
        <f t="shared" si="1194"/>
        <v>190</v>
      </c>
      <c r="CL167" s="72">
        <f t="shared" si="1195"/>
        <v>226</v>
      </c>
      <c r="CM167" s="72">
        <f t="shared" si="1196"/>
        <v>234</v>
      </c>
      <c r="CN167" s="72">
        <f t="shared" si="1197"/>
        <v>261</v>
      </c>
      <c r="CO167" s="72">
        <f t="shared" si="1198"/>
        <v>276</v>
      </c>
      <c r="CP167" s="72">
        <f t="shared" si="1199"/>
        <v>318</v>
      </c>
      <c r="CQ167" s="72">
        <f t="shared" si="1200"/>
        <v>354</v>
      </c>
      <c r="CR167" s="72">
        <f t="shared" si="1201"/>
        <v>394</v>
      </c>
      <c r="CS167" s="72" t="str">
        <f t="shared" si="1202"/>
        <v>-</v>
      </c>
      <c r="CT167" s="23" t="e">
        <f t="shared" si="1203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176"/>
        <v>c5ar1_human_6C1R</v>
      </c>
      <c r="B168" s="3" t="s">
        <v>165</v>
      </c>
      <c r="C168" s="3" t="s">
        <v>1493</v>
      </c>
      <c r="D168" s="3" t="str">
        <f>IFERROR(MID(VLOOKUP($B168,Seqs!$A:$B,2,0),E168,1),"")</f>
        <v>M</v>
      </c>
      <c r="E168" s="3">
        <v>120</v>
      </c>
      <c r="F168" s="3" t="str">
        <f>IFERROR(MID(VLOOKUP($B168,Seqs!$A:$B,2,0),G168,1),"")</f>
        <v>G</v>
      </c>
      <c r="G168" s="3">
        <v>151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I</v>
      </c>
      <c r="M168" s="3">
        <v>155</v>
      </c>
      <c r="N168" s="3" t="str">
        <f>IFERROR(MID(VLOOKUP($B168,Seqs!$A:$B,2,0),O168,1),"")</f>
        <v>K</v>
      </c>
      <c r="O168" s="3">
        <v>185</v>
      </c>
      <c r="P168" s="3" t="str">
        <f>IFERROR(MID(VLOOKUP($B168,Seqs!$A:$B,2,0),Q168,1),"")</f>
        <v>L</v>
      </c>
      <c r="Q168" s="3">
        <v>187</v>
      </c>
      <c r="R168" s="3" t="str">
        <f>IFERROR(MID(VLOOKUP($B168,Seqs!$A:$B,2,0),S168,1),"")</f>
        <v>V</v>
      </c>
      <c r="S168" s="3">
        <v>190</v>
      </c>
      <c r="T168" s="3" t="str">
        <f>IFERROR(MID(VLOOKUP($B168,Seqs!$A:$B,2,0),U168,1),"")</f>
        <v>D</v>
      </c>
      <c r="U168" s="3">
        <v>191</v>
      </c>
      <c r="V168" s="3" t="str">
        <f>IFERROR(MID(VLOOKUP($B168,Seqs!$A:$B,2,0),W168,1),"")</f>
        <v>L</v>
      </c>
      <c r="W168" s="3">
        <v>226</v>
      </c>
      <c r="X168" s="3" t="str">
        <f>IFERROR(MID(VLOOKUP($B168,Seqs!$A:$B,2,0),Y168,1),"")</f>
        <v>L</v>
      </c>
      <c r="Y168" s="3">
        <v>227</v>
      </c>
      <c r="Z168" s="3" t="str">
        <f>IFERROR(MID(VLOOKUP($B168,Seqs!$A:$B,2,0),AA168,1),"")</f>
        <v>A</v>
      </c>
      <c r="AA168" s="3">
        <v>234</v>
      </c>
      <c r="AB168" s="3" t="str">
        <f>IFERROR(MID(VLOOKUP($B168,Seqs!$A:$B,2,0),AC168,1),"")</f>
        <v>T</v>
      </c>
      <c r="AC168" s="3">
        <v>235</v>
      </c>
      <c r="AD168" s="3" t="str">
        <f>IFERROR(MID(VLOOKUP($B168,Seqs!$A:$B,2,0),AE168,1),"")</f>
        <v>T</v>
      </c>
      <c r="AE168" s="3">
        <v>261</v>
      </c>
      <c r="AF168" s="3" t="str">
        <f>IFERROR(MID(VLOOKUP($B168,Seqs!$A:$B,2,0),AG168,1),"")</f>
        <v>T</v>
      </c>
      <c r="AG168" s="3">
        <v>274</v>
      </c>
      <c r="AH168" s="3" t="str">
        <f>IFERROR(MID(VLOOKUP($B168,Seqs!$A:$B,2,0),AI168,1),"")</f>
        <v>L</v>
      </c>
      <c r="AI168" s="3">
        <v>276</v>
      </c>
      <c r="AJ168" s="3" t="str">
        <f>IFERROR(MID(VLOOKUP($B168,Seqs!$A:$B,2,0),AK168,1),"")</f>
        <v>L</v>
      </c>
      <c r="AK168" s="3">
        <v>281</v>
      </c>
      <c r="AL168" s="3" t="str">
        <f>IFERROR(MID(VLOOKUP($B168,Seqs!$A:$B,2,0),AM168,1),"")</f>
        <v>L</v>
      </c>
      <c r="AM168" s="3">
        <v>318</v>
      </c>
      <c r="AN168" s="3" t="str">
        <f>IFERROR(MID(VLOOKUP($B168,Seqs!$A:$B,2,0),AO168,1),"")</f>
        <v>L</v>
      </c>
      <c r="AO168" s="3">
        <v>323</v>
      </c>
      <c r="AP168" s="3" t="str">
        <f>IFERROR(MID(VLOOKUP($B168,Seqs!$A:$B,2,0),AQ168,1),"")</f>
        <v/>
      </c>
      <c r="AQ168" s="3">
        <v>354</v>
      </c>
      <c r="AR168" s="3" t="str">
        <f>IFERROR(MID(VLOOKUP($B168,Seqs!$A:$B,2,0),AS168,1),"")</f>
        <v/>
      </c>
      <c r="AS168" s="3">
        <v>358</v>
      </c>
      <c r="AT168" s="3" t="str">
        <f>IFERROR(MID(VLOOKUP($B168,Seqs!$A:$B,2,0),AU168,1),"")</f>
        <v/>
      </c>
      <c r="AU168" s="3">
        <v>394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Complementpeptide</v>
      </c>
      <c r="BB168" s="27" t="b">
        <f t="shared" si="1177"/>
        <v>1</v>
      </c>
      <c r="BC168" s="23">
        <f t="shared" si="1178"/>
        <v>250</v>
      </c>
      <c r="BD168" s="2" t="s">
        <v>23</v>
      </c>
      <c r="BE168" s="3" t="s">
        <v>1368</v>
      </c>
      <c r="BF168" s="118">
        <v>2.2000000000000002</v>
      </c>
      <c r="BG168" s="49" t="s">
        <v>1275</v>
      </c>
      <c r="BH168" s="49" t="s">
        <v>1275</v>
      </c>
      <c r="BI168" s="1"/>
      <c r="BJ168" s="70" t="s">
        <v>1281</v>
      </c>
      <c r="BK168" s="57" t="s">
        <v>1281</v>
      </c>
      <c r="BL168" s="57" t="s">
        <v>1281</v>
      </c>
      <c r="BM168" s="57" t="s">
        <v>1281</v>
      </c>
      <c r="BN168" s="57" t="s">
        <v>1281</v>
      </c>
      <c r="BO168" s="57" t="s">
        <v>1281</v>
      </c>
      <c r="BP168" s="57" t="s">
        <v>1281</v>
      </c>
      <c r="BQ168" s="57" t="s">
        <v>1281</v>
      </c>
      <c r="BR168" s="57" t="s">
        <v>1281</v>
      </c>
      <c r="BS168" s="57" t="s">
        <v>1281</v>
      </c>
      <c r="BT168" s="57" t="s">
        <v>1281</v>
      </c>
      <c r="BU168" s="57" t="s">
        <v>1281</v>
      </c>
      <c r="BV168" s="70">
        <f t="shared" si="1179"/>
        <v>120</v>
      </c>
      <c r="BW168" s="71" t="str">
        <f t="shared" si="1180"/>
        <v>-</v>
      </c>
      <c r="BX168" s="72">
        <f t="shared" si="1181"/>
        <v>155</v>
      </c>
      <c r="BY168" s="71">
        <f t="shared" si="1182"/>
        <v>187</v>
      </c>
      <c r="BZ168" s="72">
        <f t="shared" si="1183"/>
        <v>191</v>
      </c>
      <c r="CA168" s="71">
        <f t="shared" si="1184"/>
        <v>227</v>
      </c>
      <c r="CB168" s="72">
        <f t="shared" si="1185"/>
        <v>235</v>
      </c>
      <c r="CC168" s="71">
        <f t="shared" si="1186"/>
        <v>274</v>
      </c>
      <c r="CD168" s="72">
        <f t="shared" si="1187"/>
        <v>281</v>
      </c>
      <c r="CE168" s="71">
        <f t="shared" si="1188"/>
        <v>323</v>
      </c>
      <c r="CF168" s="72">
        <f t="shared" si="1189"/>
        <v>358</v>
      </c>
      <c r="CG168" s="71" t="str">
        <f t="shared" si="1190"/>
        <v>-</v>
      </c>
      <c r="CH168" s="70">
        <f t="shared" si="1191"/>
        <v>151</v>
      </c>
      <c r="CI168" s="71" t="str">
        <f t="shared" si="1192"/>
        <v>-</v>
      </c>
      <c r="CJ168" s="72">
        <f t="shared" si="1193"/>
        <v>185</v>
      </c>
      <c r="CK168" s="72">
        <f t="shared" si="1194"/>
        <v>190</v>
      </c>
      <c r="CL168" s="72">
        <f t="shared" si="1195"/>
        <v>226</v>
      </c>
      <c r="CM168" s="72">
        <f t="shared" si="1196"/>
        <v>234</v>
      </c>
      <c r="CN168" s="72">
        <f t="shared" si="1197"/>
        <v>261</v>
      </c>
      <c r="CO168" s="72">
        <f t="shared" si="1198"/>
        <v>276</v>
      </c>
      <c r="CP168" s="72">
        <f t="shared" si="1199"/>
        <v>318</v>
      </c>
      <c r="CQ168" s="72">
        <f t="shared" si="1200"/>
        <v>354</v>
      </c>
      <c r="CR168" s="72">
        <f t="shared" si="1201"/>
        <v>394</v>
      </c>
      <c r="CS168" s="72" t="str">
        <f t="shared" si="1202"/>
        <v>-</v>
      </c>
      <c r="CT168" s="23" t="e">
        <f t="shared" si="1203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007"/>
        <v>ccr2_human__wt</v>
      </c>
      <c r="B169" s="3" t="s">
        <v>170</v>
      </c>
      <c r="C169" s="3" t="s">
        <v>100</v>
      </c>
      <c r="D169" s="3" t="str">
        <f>IFERROR(MID(VLOOKUP($B169,Seqs!$A:$B,2,0),E169,1),"")</f>
        <v>V</v>
      </c>
      <c r="E169" s="3">
        <v>37</v>
      </c>
      <c r="F169" s="3" t="str">
        <f>IFERROR(MID(VLOOKUP($B169,Seqs!$A:$B,2,0),G169,1),"")</f>
        <v>C</v>
      </c>
      <c r="G169" s="3">
        <v>70</v>
      </c>
      <c r="H169" s="3" t="str">
        <f>IFERROR(MID(VLOOKUP($B169,Seqs!$A:$B,2,0),I169,1),"")</f>
        <v>K</v>
      </c>
      <c r="I169" s="23">
        <v>71</v>
      </c>
      <c r="J169" s="3" t="str">
        <f>IFERROR(MID(VLOOKUP($B169,Seqs!$A:$B,2,0),K169,1),"")</f>
        <v>K</v>
      </c>
      <c r="K169" s="23">
        <v>74</v>
      </c>
      <c r="L169" s="3" t="str">
        <f>IFERROR(MID(VLOOKUP($B169,Seqs!$A:$B,2,0),M169,1),"")</f>
        <v>C</v>
      </c>
      <c r="M169" s="3">
        <v>75</v>
      </c>
      <c r="N169" s="3" t="str">
        <f>IFERROR(MID(VLOOKUP($B169,Seqs!$A:$B,2,0),O169,1),"")</f>
        <v>N</v>
      </c>
      <c r="O169" s="3">
        <v>104</v>
      </c>
      <c r="P169" s="3" t="str">
        <f>IFERROR(MID(VLOOKUP($B169,Seqs!$A:$B,2,0),Q169,1),"")</f>
        <v>E</v>
      </c>
      <c r="Q169" s="3">
        <v>105</v>
      </c>
      <c r="R169" s="3" t="str">
        <f>IFERROR(MID(VLOOKUP($B169,Seqs!$A:$B,2,0),S169,1),"")</f>
        <v>F</v>
      </c>
      <c r="S169" s="3">
        <v>108</v>
      </c>
      <c r="T169" s="3" t="str">
        <f>IFERROR(MID(VLOOKUP($B169,Seqs!$A:$B,2,0),U169,1),"")</f>
        <v>G</v>
      </c>
      <c r="U169" s="3">
        <v>109</v>
      </c>
      <c r="V169" s="3" t="str">
        <f>IFERROR(MID(VLOOKUP($B169,Seqs!$A:$B,2,0),W169,1),"")</f>
        <v>H</v>
      </c>
      <c r="W169" s="3">
        <v>144</v>
      </c>
      <c r="X169" s="3" t="str">
        <f>IFERROR(MID(VLOOKUP($B169,Seqs!$A:$B,2,0),Y169,1),"")</f>
        <v>A</v>
      </c>
      <c r="Y169" s="3">
        <v>145</v>
      </c>
      <c r="Z169" s="3" t="str">
        <f>IFERROR(MID(VLOOKUP($B169,Seqs!$A:$B,2,0),AA169,1),"")</f>
        <v>R</v>
      </c>
      <c r="AA169" s="3">
        <v>152</v>
      </c>
      <c r="AB169" s="3" t="str">
        <f>IFERROR(MID(VLOOKUP($B169,Seqs!$A:$B,2,0),AC169,1),"")</f>
        <v>T</v>
      </c>
      <c r="AC169" s="9">
        <v>153</v>
      </c>
      <c r="AD169" s="3" t="str">
        <f>IFERROR(MID(VLOOKUP($B169,Seqs!$A:$B,2,0),AE169,1),"")</f>
        <v>T</v>
      </c>
      <c r="AE169" s="3">
        <v>179</v>
      </c>
      <c r="AF169" s="3" t="str">
        <f>IFERROR(MID(VLOOKUP($B169,Seqs!$A:$B,2,0),AG169,1),"")</f>
        <v>C</v>
      </c>
      <c r="AG169" s="3">
        <v>190</v>
      </c>
      <c r="AH169" s="3" t="str">
        <f>IFERROR(MID(VLOOKUP($B169,Seqs!$A:$B,2,0),AI169,1),"")</f>
        <v>P</v>
      </c>
      <c r="AI169" s="3">
        <v>192</v>
      </c>
      <c r="AJ169" s="3" t="str">
        <f>IFERROR(MID(VLOOKUP($B169,Seqs!$A:$B,2,0),AK169,1),"")</f>
        <v>P</v>
      </c>
      <c r="AK169" s="3">
        <v>195</v>
      </c>
      <c r="AL169" s="3" t="str">
        <f>IFERROR(MID(VLOOKUP($B169,Seqs!$A:$B,2,0),AM169,1),"")</f>
        <v>C</v>
      </c>
      <c r="AM169" s="3">
        <v>232</v>
      </c>
      <c r="AN169" s="3" t="str">
        <f>IFERROR(MID(VLOOKUP($B169,Seqs!$A:$B,2,0),AO169,1),"")</f>
        <v>K</v>
      </c>
      <c r="AO169" s="3">
        <v>236</v>
      </c>
      <c r="AP169" s="3" t="str">
        <f>IFERROR(MID(VLOOKUP($B169,Seqs!$A:$B,2,0),AQ169,1),"")</f>
        <v>G</v>
      </c>
      <c r="AQ169" s="3">
        <v>273</v>
      </c>
      <c r="AR169" s="3" t="str">
        <f>IFERROR(MID(VLOOKUP($B169,Seqs!$A:$B,2,0),AS169,1),"")</f>
        <v>E</v>
      </c>
      <c r="AS169" s="3">
        <v>278</v>
      </c>
      <c r="AT169" s="3" t="str">
        <f>IFERROR(MID(VLOOKUP($B169,Seqs!$A:$B,2,0),AU169,1),"")</f>
        <v>V</v>
      </c>
      <c r="AU169" s="3">
        <v>308</v>
      </c>
      <c r="AV169" s="3" t="str">
        <f>IFERROR(MID(VLOOKUP($B169,Seqs!$A:$B,2,0),AW169,1),"")</f>
        <v>G</v>
      </c>
      <c r="AW169" s="3">
        <v>309</v>
      </c>
      <c r="AX169" s="3" t="str">
        <f>IFERROR(MID(VLOOKUP($B169,Seqs!$A:$B,2,0),AY169,1),"")</f>
        <v>L</v>
      </c>
      <c r="AY169" s="3">
        <v>320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1008"/>
        <v>1</v>
      </c>
      <c r="BC169" s="23">
        <f t="shared" si="785"/>
        <v>265</v>
      </c>
      <c r="BD169" s="2" t="s">
        <v>23</v>
      </c>
      <c r="BE169" s="3" t="s">
        <v>23</v>
      </c>
      <c r="BF169" s="118" t="s">
        <v>23</v>
      </c>
      <c r="BG169" s="49" t="s">
        <v>1366</v>
      </c>
      <c r="BH169" s="49" t="s">
        <v>1371</v>
      </c>
      <c r="BI169" s="1"/>
      <c r="BJ169" s="70" t="s">
        <v>1281</v>
      </c>
      <c r="BK169" s="57" t="s">
        <v>1281</v>
      </c>
      <c r="BL169" s="57" t="s">
        <v>1281</v>
      </c>
      <c r="BM169" s="57" t="s">
        <v>1281</v>
      </c>
      <c r="BN169" s="57" t="s">
        <v>1281</v>
      </c>
      <c r="BO169" s="57" t="s">
        <v>1281</v>
      </c>
      <c r="BP169" s="57" t="s">
        <v>1281</v>
      </c>
      <c r="BQ169" s="57" t="s">
        <v>1281</v>
      </c>
      <c r="BR169" s="57" t="s">
        <v>1281</v>
      </c>
      <c r="BS169" s="57" t="s">
        <v>1281</v>
      </c>
      <c r="BT169" s="57" t="s">
        <v>1281</v>
      </c>
      <c r="BU169" s="57" t="s">
        <v>1281</v>
      </c>
      <c r="BV169" s="70">
        <f t="shared" si="786"/>
        <v>37</v>
      </c>
      <c r="BW169" s="71">
        <f t="shared" si="787"/>
        <v>71</v>
      </c>
      <c r="BX169" s="72">
        <f t="shared" si="788"/>
        <v>75</v>
      </c>
      <c r="BY169" s="71">
        <f t="shared" si="789"/>
        <v>105</v>
      </c>
      <c r="BZ169" s="72">
        <f t="shared" si="790"/>
        <v>109</v>
      </c>
      <c r="CA169" s="71">
        <f t="shared" si="791"/>
        <v>145</v>
      </c>
      <c r="CB169" s="72">
        <f t="shared" si="792"/>
        <v>153</v>
      </c>
      <c r="CC169" s="71">
        <f t="shared" si="793"/>
        <v>190</v>
      </c>
      <c r="CD169" s="72">
        <f t="shared" si="794"/>
        <v>195</v>
      </c>
      <c r="CE169" s="71">
        <f t="shared" si="795"/>
        <v>236</v>
      </c>
      <c r="CF169" s="72">
        <f t="shared" si="796"/>
        <v>278</v>
      </c>
      <c r="CG169" s="71">
        <f t="shared" si="797"/>
        <v>309</v>
      </c>
      <c r="CH169" s="70">
        <f t="shared" si="798"/>
        <v>70</v>
      </c>
      <c r="CI169" s="71">
        <f t="shared" si="799"/>
        <v>74</v>
      </c>
      <c r="CJ169" s="72">
        <f t="shared" si="800"/>
        <v>104</v>
      </c>
      <c r="CK169" s="72">
        <f t="shared" si="801"/>
        <v>108</v>
      </c>
      <c r="CL169" s="72">
        <f t="shared" si="802"/>
        <v>144</v>
      </c>
      <c r="CM169" s="72">
        <f t="shared" si="803"/>
        <v>152</v>
      </c>
      <c r="CN169" s="72">
        <f t="shared" si="804"/>
        <v>179</v>
      </c>
      <c r="CO169" s="72">
        <f t="shared" si="805"/>
        <v>192</v>
      </c>
      <c r="CP169" s="72">
        <f t="shared" si="806"/>
        <v>232</v>
      </c>
      <c r="CQ169" s="72">
        <f t="shared" si="807"/>
        <v>273</v>
      </c>
      <c r="CR169" s="72">
        <f t="shared" si="808"/>
        <v>308</v>
      </c>
      <c r="CS169" s="72">
        <f t="shared" si="809"/>
        <v>320</v>
      </c>
      <c r="CT169" s="23">
        <f t="shared" si="810"/>
        <v>1</v>
      </c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  <c r="AML169" s="6"/>
      <c r="AMM169" s="6"/>
      <c r="AMN169" s="6"/>
      <c r="AMO169" s="6"/>
      <c r="AMP169" s="6"/>
    </row>
    <row r="170" spans="1:1030" x14ac:dyDescent="0.2">
      <c r="A170" s="3" t="str">
        <f t="shared" si="1007"/>
        <v>ccr2_human_5T1A</v>
      </c>
      <c r="B170" s="3" t="s">
        <v>170</v>
      </c>
      <c r="C170" s="3" t="s">
        <v>1372</v>
      </c>
      <c r="D170" s="3" t="str">
        <f>IFERROR(MID(VLOOKUP($B170,Seqs!$A:$B,2,0),E170,1),"")</f>
        <v>V</v>
      </c>
      <c r="E170" s="3">
        <v>37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C</v>
      </c>
      <c r="M170" s="3">
        <v>75</v>
      </c>
      <c r="N170" s="3" t="str">
        <f>IFERROR(MID(VLOOKUP($B170,Seqs!$A:$B,2,0),O170,1),"")</f>
        <v>N</v>
      </c>
      <c r="O170" s="3">
        <v>104</v>
      </c>
      <c r="P170" s="3" t="str">
        <f>IFERROR(MID(VLOOKUP($B170,Seqs!$A:$B,2,0),Q170,1),"")</f>
        <v>E</v>
      </c>
      <c r="Q170" s="3">
        <v>105</v>
      </c>
      <c r="R170" s="3" t="str">
        <f>IFERROR(MID(VLOOKUP($B170,Seqs!$A:$B,2,0),S170,1),"")</f>
        <v>F</v>
      </c>
      <c r="S170" s="3">
        <v>108</v>
      </c>
      <c r="T170" s="3" t="str">
        <f>IFERROR(MID(VLOOKUP($B170,Seqs!$A:$B,2,0),U170,1),"")</f>
        <v>G</v>
      </c>
      <c r="U170" s="3">
        <v>109</v>
      </c>
      <c r="V170" s="3" t="str">
        <f>IFERROR(MID(VLOOKUP($B170,Seqs!$A:$B,2,0),W170,1),"")</f>
        <v>H</v>
      </c>
      <c r="W170" s="3">
        <v>144</v>
      </c>
      <c r="X170" s="3" t="str">
        <f>IFERROR(MID(VLOOKUP($B170,Seqs!$A:$B,2,0),Y170,1),"")</f>
        <v>A</v>
      </c>
      <c r="Y170" s="3">
        <v>145</v>
      </c>
      <c r="Z170" s="3" t="str">
        <f>IFERROR(MID(VLOOKUP($B170,Seqs!$A:$B,2,0),AA170,1),"")</f>
        <v>R</v>
      </c>
      <c r="AA170" s="3">
        <v>152</v>
      </c>
      <c r="AB170" s="3" t="str">
        <f>IFERROR(MID(VLOOKUP($B170,Seqs!$A:$B,2,0),AC170,1),"")</f>
        <v>T</v>
      </c>
      <c r="AC170" s="9">
        <v>153</v>
      </c>
      <c r="AD170" s="3" t="str">
        <f>IFERROR(MID(VLOOKUP($B170,Seqs!$A:$B,2,0),AE170,1),"")</f>
        <v>T</v>
      </c>
      <c r="AE170" s="3">
        <v>179</v>
      </c>
      <c r="AF170" s="3" t="str">
        <f>IFERROR(MID(VLOOKUP($B170,Seqs!$A:$B,2,0),AG170,1),"")</f>
        <v>C</v>
      </c>
      <c r="AG170" s="3">
        <v>190</v>
      </c>
      <c r="AH170" s="3" t="str">
        <f>IFERROR(MID(VLOOKUP($B170,Seqs!$A:$B,2,0),AI170,1),"")</f>
        <v>P</v>
      </c>
      <c r="AI170" s="3">
        <v>192</v>
      </c>
      <c r="AJ170" s="3" t="str">
        <f>IFERROR(MID(VLOOKUP($B170,Seqs!$A:$B,2,0),AK170,1),"")</f>
        <v>P</v>
      </c>
      <c r="AK170" s="3">
        <v>195</v>
      </c>
      <c r="AL170" s="3" t="str">
        <f>IFERROR(MID(VLOOKUP($B170,Seqs!$A:$B,2,0),AM170,1),"")</f>
        <v>T</v>
      </c>
      <c r="AM170" s="3">
        <v>228</v>
      </c>
      <c r="AN170" s="3" t="str">
        <f>IFERROR(MID(VLOOKUP($B170,Seqs!$A:$B,2,0),AO170,1),"")</f>
        <v>K</v>
      </c>
      <c r="AO170" s="3">
        <v>236</v>
      </c>
      <c r="AP170" s="3" t="str">
        <f>IFERROR(MID(VLOOKUP($B170,Seqs!$A:$B,2,0),AQ170,1),"")</f>
        <v>G</v>
      </c>
      <c r="AQ170" s="3">
        <v>273</v>
      </c>
      <c r="AR170" s="3" t="str">
        <f>IFERROR(MID(VLOOKUP($B170,Seqs!$A:$B,2,0),AS170,1),"")</f>
        <v>E</v>
      </c>
      <c r="AS170" s="3">
        <v>278</v>
      </c>
      <c r="AT170" s="3" t="str">
        <f>IFERROR(MID(VLOOKUP($B170,Seqs!$A:$B,2,0),AU170,1),"")</f>
        <v>V</v>
      </c>
      <c r="AU170" s="3">
        <v>308</v>
      </c>
      <c r="AV170" s="3" t="str">
        <f>IFERROR(MID(VLOOKUP($B170,Seqs!$A:$B,2,0),AW170,1),"")</f>
        <v>G</v>
      </c>
      <c r="AW170" s="3">
        <v>309</v>
      </c>
      <c r="AX170" s="3" t="str">
        <f>IFERROR(MID(VLOOKUP($B170,Seqs!$A:$B,2,0),AY170,1),"")</f>
        <v>L</v>
      </c>
      <c r="AY170" s="3">
        <v>320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1008"/>
        <v>1</v>
      </c>
      <c r="BC170" s="23">
        <f t="shared" si="785"/>
        <v>258</v>
      </c>
      <c r="BD170" s="16" t="s">
        <v>1370</v>
      </c>
      <c r="BE170" s="3" t="s">
        <v>1368</v>
      </c>
      <c r="BF170" s="118">
        <v>2.81</v>
      </c>
      <c r="BG170" s="49" t="s">
        <v>1</v>
      </c>
      <c r="BH170" s="49" t="s">
        <v>1371</v>
      </c>
      <c r="BI170" s="1"/>
      <c r="BJ170" s="70" t="s">
        <v>1281</v>
      </c>
      <c r="BK170" s="57" t="s">
        <v>1281</v>
      </c>
      <c r="BL170" s="57" t="s">
        <v>1281</v>
      </c>
      <c r="BM170" s="57" t="s">
        <v>1281</v>
      </c>
      <c r="BN170" s="57" t="s">
        <v>1281</v>
      </c>
      <c r="BO170" s="57" t="s">
        <v>1281</v>
      </c>
      <c r="BP170" s="57" t="s">
        <v>1281</v>
      </c>
      <c r="BQ170" s="57" t="s">
        <v>1281</v>
      </c>
      <c r="BR170" s="57" t="s">
        <v>1281</v>
      </c>
      <c r="BS170" s="57" t="s">
        <v>1281</v>
      </c>
      <c r="BT170" s="57" t="s">
        <v>1281</v>
      </c>
      <c r="BU170" s="57" t="s">
        <v>1281</v>
      </c>
      <c r="BV170" s="70">
        <f t="shared" si="786"/>
        <v>37</v>
      </c>
      <c r="BW170" s="71" t="str">
        <f t="shared" si="787"/>
        <v>-</v>
      </c>
      <c r="BX170" s="72">
        <f t="shared" si="788"/>
        <v>75</v>
      </c>
      <c r="BY170" s="71">
        <f t="shared" si="789"/>
        <v>105</v>
      </c>
      <c r="BZ170" s="72">
        <f t="shared" si="790"/>
        <v>109</v>
      </c>
      <c r="CA170" s="71">
        <f t="shared" si="791"/>
        <v>145</v>
      </c>
      <c r="CB170" s="72">
        <f t="shared" si="792"/>
        <v>153</v>
      </c>
      <c r="CC170" s="71">
        <f t="shared" si="793"/>
        <v>190</v>
      </c>
      <c r="CD170" s="72">
        <f t="shared" si="794"/>
        <v>195</v>
      </c>
      <c r="CE170" s="71">
        <f t="shared" si="795"/>
        <v>236</v>
      </c>
      <c r="CF170" s="72">
        <f t="shared" si="796"/>
        <v>278</v>
      </c>
      <c r="CG170" s="71">
        <f t="shared" si="797"/>
        <v>309</v>
      </c>
      <c r="CH170" s="70">
        <f t="shared" si="798"/>
        <v>70</v>
      </c>
      <c r="CI170" s="71" t="str">
        <f t="shared" si="799"/>
        <v>-</v>
      </c>
      <c r="CJ170" s="72">
        <f t="shared" si="800"/>
        <v>104</v>
      </c>
      <c r="CK170" s="72">
        <f t="shared" si="801"/>
        <v>108</v>
      </c>
      <c r="CL170" s="72">
        <f t="shared" si="802"/>
        <v>144</v>
      </c>
      <c r="CM170" s="72">
        <f t="shared" si="803"/>
        <v>152</v>
      </c>
      <c r="CN170" s="72">
        <f t="shared" si="804"/>
        <v>179</v>
      </c>
      <c r="CO170" s="72">
        <f t="shared" si="805"/>
        <v>192</v>
      </c>
      <c r="CP170" s="72">
        <f t="shared" si="806"/>
        <v>228</v>
      </c>
      <c r="CQ170" s="72">
        <f t="shared" si="807"/>
        <v>273</v>
      </c>
      <c r="CR170" s="72">
        <f t="shared" si="808"/>
        <v>308</v>
      </c>
      <c r="CS170" s="72">
        <f t="shared" si="809"/>
        <v>320</v>
      </c>
      <c r="CT170" s="23" t="e">
        <f t="shared" si="810"/>
        <v>#VALUE!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 t="shared" ref="A171" si="1288">CONCATENATE(B171,"_",C171)</f>
        <v>ccr2_human_6GPS</v>
      </c>
      <c r="B171" s="3" t="s">
        <v>170</v>
      </c>
      <c r="C171" s="3" t="s">
        <v>1540</v>
      </c>
      <c r="D171" s="3" t="str">
        <f>IFERROR(MID(VLOOKUP($B171,Seqs!$A:$B,2,0),E171,1),"")</f>
        <v>V</v>
      </c>
      <c r="E171" s="3">
        <v>37</v>
      </c>
      <c r="F171" s="3" t="str">
        <f>IFERROR(MID(VLOOKUP($B171,Seqs!$A:$B,2,0),G171,1),"")</f>
        <v>K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L</v>
      </c>
      <c r="M171" s="3">
        <v>76</v>
      </c>
      <c r="N171" s="3" t="str">
        <f>IFERROR(MID(VLOOKUP($B171,Seqs!$A:$B,2,0),O171,1),"")</f>
        <v>A</v>
      </c>
      <c r="O171" s="3">
        <v>102</v>
      </c>
      <c r="P171" s="3" t="str">
        <f>IFERROR(MID(VLOOKUP($B171,Seqs!$A:$B,2,0),Q171,1),"")</f>
        <v>E</v>
      </c>
      <c r="Q171" s="3">
        <v>105</v>
      </c>
      <c r="R171" s="3" t="str">
        <f>IFERROR(MID(VLOOKUP($B171,Seqs!$A:$B,2,0),S171,1),"")</f>
        <v>F</v>
      </c>
      <c r="S171" s="3">
        <v>108</v>
      </c>
      <c r="T171" s="3" t="str">
        <f>IFERROR(MID(VLOOKUP($B171,Seqs!$A:$B,2,0),U171,1),"")</f>
        <v>G</v>
      </c>
      <c r="U171" s="3">
        <v>109</v>
      </c>
      <c r="V171" s="3" t="str">
        <f>IFERROR(MID(VLOOKUP($B171,Seqs!$A:$B,2,0),W171,1),"")</f>
        <v>H</v>
      </c>
      <c r="W171" s="3">
        <v>144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152</v>
      </c>
      <c r="AD171" s="3" t="str">
        <f>IFERROR(MID(VLOOKUP($B171,Seqs!$A:$B,2,0),AE171,1),"")</f>
        <v>T</v>
      </c>
      <c r="AE171" s="3">
        <v>179</v>
      </c>
      <c r="AF171" s="3" t="str">
        <f>IFERROR(MID(VLOOKUP($B171,Seqs!$A:$B,2,0),AG171,1),"")</f>
        <v>C</v>
      </c>
      <c r="AG171" s="3">
        <v>190</v>
      </c>
      <c r="AH171" s="3" t="str">
        <f>IFERROR(MID(VLOOKUP($B171,Seqs!$A:$B,2,0),AI171,1),"")</f>
        <v>P</v>
      </c>
      <c r="AI171" s="3">
        <v>192</v>
      </c>
      <c r="AJ171" s="3" t="str">
        <f>IFERROR(MID(VLOOKUP($B171,Seqs!$A:$B,2,0),AK171,1),"")</f>
        <v>P</v>
      </c>
      <c r="AK171" s="3">
        <v>195</v>
      </c>
      <c r="AL171" s="3" t="str">
        <f>IFERROR(MID(VLOOKUP($B171,Seqs!$A:$B,2,0),AM171,1),"")</f>
        <v>R</v>
      </c>
      <c r="AM171" s="3">
        <v>231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F</v>
      </c>
      <c r="AQ171" s="3">
        <v>268</v>
      </c>
      <c r="AR171" s="3" t="str">
        <f>IFERROR(MID(VLOOKUP($B171,Seqs!$A:$B,2,0),AS171,1),"")</f>
        <v>S</v>
      </c>
      <c r="AS171" s="3">
        <v>279</v>
      </c>
      <c r="AT171" s="3" t="str">
        <f>IFERROR(MID(VLOOKUP($B171,Seqs!$A:$B,2,0),AU171,1),"")</f>
        <v>G</v>
      </c>
      <c r="AU171" s="3">
        <v>309</v>
      </c>
      <c r="AV171" s="3" t="str">
        <f>IFERROR(MID(VLOOKUP($B171,Seqs!$A:$B,2,0),AW171,1),"")</f>
        <v>E</v>
      </c>
      <c r="AW171" s="3">
        <v>310</v>
      </c>
      <c r="AX171" s="3" t="str">
        <f>IFERROR(MID(VLOOKUP($B171,Seqs!$A:$B,2,0),AY171,1),"")</f>
        <v>G</v>
      </c>
      <c r="AY171" s="3">
        <v>321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ref="BB171" si="1289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290">_xlfn.AGGREGATE(9,6,CH171:CS171)-_xlfn.AGGREGATE(9,6,BV171:CG171)+12</f>
        <v>243</v>
      </c>
      <c r="BD171" s="16" t="s">
        <v>23</v>
      </c>
      <c r="BE171" s="3" t="s">
        <v>1368</v>
      </c>
      <c r="BF171" s="118">
        <v>3.3</v>
      </c>
      <c r="BG171" s="49" t="s">
        <v>1</v>
      </c>
      <c r="BH171" s="49" t="s">
        <v>1</v>
      </c>
      <c r="BI171" s="1"/>
      <c r="BJ171" s="70" t="s">
        <v>1281</v>
      </c>
      <c r="BK171" s="57" t="s">
        <v>1281</v>
      </c>
      <c r="BL171" s="57" t="s">
        <v>1281</v>
      </c>
      <c r="BM171" s="57" t="s">
        <v>1281</v>
      </c>
      <c r="BN171" s="57" t="s">
        <v>1281</v>
      </c>
      <c r="BO171" s="57" t="s">
        <v>1281</v>
      </c>
      <c r="BP171" s="57" t="s">
        <v>1281</v>
      </c>
      <c r="BQ171" s="57" t="s">
        <v>1281</v>
      </c>
      <c r="BR171" s="57" t="s">
        <v>1281</v>
      </c>
      <c r="BS171" s="57" t="s">
        <v>1281</v>
      </c>
      <c r="BT171" s="57" t="s">
        <v>1281</v>
      </c>
      <c r="BU171" s="57" t="s">
        <v>1281</v>
      </c>
      <c r="BV171" s="70">
        <f t="shared" ref="BV171" si="1291">E171</f>
        <v>37</v>
      </c>
      <c r="BW171" s="71" t="str">
        <f t="shared" ref="BW171" si="1292">I171</f>
        <v>-</v>
      </c>
      <c r="BX171" s="72">
        <f t="shared" ref="BX171" si="1293">M171</f>
        <v>76</v>
      </c>
      <c r="BY171" s="71">
        <f t="shared" ref="BY171" si="1294">Q171</f>
        <v>105</v>
      </c>
      <c r="BZ171" s="72">
        <f t="shared" ref="BZ171" si="1295">U171</f>
        <v>109</v>
      </c>
      <c r="CA171" s="71" t="str">
        <f t="shared" ref="CA171" si="1296">Y171</f>
        <v>-</v>
      </c>
      <c r="CB171" s="72">
        <f t="shared" ref="CB171" si="1297">AC171</f>
        <v>152</v>
      </c>
      <c r="CC171" s="71">
        <f t="shared" ref="CC171" si="1298">AG171</f>
        <v>190</v>
      </c>
      <c r="CD171" s="72">
        <f t="shared" ref="CD171" si="1299">AK171</f>
        <v>195</v>
      </c>
      <c r="CE171" s="71">
        <f t="shared" ref="CE171" si="1300">AO171</f>
        <v>241</v>
      </c>
      <c r="CF171" s="72">
        <f t="shared" ref="CF171" si="1301">AS171</f>
        <v>279</v>
      </c>
      <c r="CG171" s="71">
        <f t="shared" ref="CG171" si="1302">AW171</f>
        <v>310</v>
      </c>
      <c r="CH171" s="70">
        <f t="shared" ref="CH171" si="1303">G171</f>
        <v>71</v>
      </c>
      <c r="CI171" s="71" t="str">
        <f t="shared" ref="CI171" si="1304">K171</f>
        <v>-</v>
      </c>
      <c r="CJ171" s="72">
        <f t="shared" ref="CJ171" si="1305">O171</f>
        <v>102</v>
      </c>
      <c r="CK171" s="72">
        <f t="shared" ref="CK171" si="1306">S171</f>
        <v>108</v>
      </c>
      <c r="CL171" s="72">
        <f t="shared" ref="CL171" si="1307">W171</f>
        <v>144</v>
      </c>
      <c r="CM171" s="72" t="str">
        <f t="shared" ref="CM171" si="1308">AA171</f>
        <v>-</v>
      </c>
      <c r="CN171" s="72">
        <f t="shared" ref="CN171" si="1309">AE171</f>
        <v>179</v>
      </c>
      <c r="CO171" s="72">
        <f t="shared" ref="CO171" si="1310">AI171</f>
        <v>192</v>
      </c>
      <c r="CP171" s="72">
        <f t="shared" ref="CP171" si="1311">AM171</f>
        <v>231</v>
      </c>
      <c r="CQ171" s="72">
        <f t="shared" ref="CQ171" si="1312">AQ171</f>
        <v>268</v>
      </c>
      <c r="CR171" s="72">
        <f t="shared" ref="CR171" si="1313">AU171</f>
        <v>309</v>
      </c>
      <c r="CS171" s="72">
        <f t="shared" ref="CS171" si="1314">AY171</f>
        <v>321</v>
      </c>
      <c r="CT171" s="23" t="e">
        <f t="shared" ref="CT171" si="1315">M171-K171</f>
        <v>#VALUE!</v>
      </c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  <c r="AML171" s="6"/>
      <c r="AMM171" s="6"/>
      <c r="AMN171" s="6"/>
      <c r="AMO171" s="6"/>
      <c r="AMP171" s="6"/>
    </row>
    <row r="172" spans="1:1030" x14ac:dyDescent="0.2">
      <c r="A172" s="3" t="str">
        <f t="shared" ref="A172" si="1316">CONCATENATE(B172,"_",C172)</f>
        <v>ccr2_human_6GPX</v>
      </c>
      <c r="B172" s="3" t="s">
        <v>170</v>
      </c>
      <c r="C172" s="3" t="s">
        <v>1541</v>
      </c>
      <c r="D172" s="3" t="str">
        <f>IFERROR(MID(VLOOKUP($B172,Seqs!$A:$B,2,0),E172,1),"")</f>
        <v>F</v>
      </c>
      <c r="E172" s="3">
        <v>35</v>
      </c>
      <c r="F172" s="3" t="str">
        <f>IFERROR(MID(VLOOKUP($B172,Seqs!$A:$B,2,0),G172,1),"")</f>
        <v>K</v>
      </c>
      <c r="G172" s="3">
        <v>71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C</v>
      </c>
      <c r="M172" s="3">
        <v>75</v>
      </c>
      <c r="N172" s="3" t="str">
        <f>IFERROR(MID(VLOOKUP($B172,Seqs!$A:$B,2,0),O172,1),"")</f>
        <v>A</v>
      </c>
      <c r="O172" s="3">
        <v>102</v>
      </c>
      <c r="P172" s="3" t="str">
        <f>IFERROR(MID(VLOOKUP($B172,Seqs!$A:$B,2,0),Q172,1),"")</f>
        <v>E</v>
      </c>
      <c r="Q172" s="3">
        <v>105</v>
      </c>
      <c r="R172" s="3" t="str">
        <f>IFERROR(MID(VLOOKUP($B172,Seqs!$A:$B,2,0),S172,1),"")</f>
        <v>F</v>
      </c>
      <c r="S172" s="3">
        <v>108</v>
      </c>
      <c r="T172" s="3" t="str">
        <f>IFERROR(MID(VLOOKUP($B172,Seqs!$A:$B,2,0),U172,1),"")</f>
        <v>G</v>
      </c>
      <c r="U172" s="3">
        <v>109</v>
      </c>
      <c r="V172" s="3" t="str">
        <f>IFERROR(MID(VLOOKUP($B172,Seqs!$A:$B,2,0),W172,1),"")</f>
        <v>H</v>
      </c>
      <c r="W172" s="3">
        <v>144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152</v>
      </c>
      <c r="AD172" s="3" t="str">
        <f>IFERROR(MID(VLOOKUP($B172,Seqs!$A:$B,2,0),AE172,1),"")</f>
        <v>T</v>
      </c>
      <c r="AE172" s="3">
        <v>179</v>
      </c>
      <c r="AF172" s="3" t="str">
        <f>IFERROR(MID(VLOOKUP($B172,Seqs!$A:$B,2,0),AG172,1),"")</f>
        <v>C</v>
      </c>
      <c r="AG172" s="3">
        <v>190</v>
      </c>
      <c r="AH172" s="3" t="str">
        <f>IFERROR(MID(VLOOKUP($B172,Seqs!$A:$B,2,0),AI172,1),"")</f>
        <v>P</v>
      </c>
      <c r="AI172" s="3">
        <v>192</v>
      </c>
      <c r="AJ172" s="3" t="str">
        <f>IFERROR(MID(VLOOKUP($B172,Seqs!$A:$B,2,0),AK172,1),"")</f>
        <v>P</v>
      </c>
      <c r="AK172" s="3">
        <v>195</v>
      </c>
      <c r="AL172" s="3" t="str">
        <f>IFERROR(MID(VLOOKUP($B172,Seqs!$A:$B,2,0),AM172,1),"")</f>
        <v>L</v>
      </c>
      <c r="AM172" s="3">
        <v>229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F</v>
      </c>
      <c r="AQ172" s="3">
        <v>268</v>
      </c>
      <c r="AR172" s="3" t="str">
        <f>IFERROR(MID(VLOOKUP($B172,Seqs!$A:$B,2,0),AS172,1),"")</f>
        <v>N</v>
      </c>
      <c r="AS172" s="3">
        <v>276</v>
      </c>
      <c r="AT172" s="3" t="str">
        <f>IFERROR(MID(VLOOKUP($B172,Seqs!$A:$B,2,0),AU172,1),"")</f>
        <v>V</v>
      </c>
      <c r="AU172" s="3">
        <v>308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ref="BB172" si="131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318">_xlfn.AGGREGATE(9,6,CH172:CS172)-_xlfn.AGGREGATE(9,6,BV172:CG172)+12</f>
        <v>235</v>
      </c>
      <c r="BD172" s="16" t="s">
        <v>23</v>
      </c>
      <c r="BE172" s="3" t="s">
        <v>1368</v>
      </c>
      <c r="BF172" s="118">
        <v>2.7</v>
      </c>
      <c r="BG172" s="49" t="s">
        <v>1</v>
      </c>
      <c r="BH172" s="49" t="s">
        <v>1</v>
      </c>
      <c r="BI172" s="1"/>
      <c r="BJ172" s="70" t="s">
        <v>1281</v>
      </c>
      <c r="BK172" s="57" t="s">
        <v>1281</v>
      </c>
      <c r="BL172" s="57" t="s">
        <v>1281</v>
      </c>
      <c r="BM172" s="57" t="s">
        <v>1281</v>
      </c>
      <c r="BN172" s="57" t="s">
        <v>1281</v>
      </c>
      <c r="BO172" s="57" t="s">
        <v>1281</v>
      </c>
      <c r="BP172" s="57" t="s">
        <v>1281</v>
      </c>
      <c r="BQ172" s="57" t="s">
        <v>1281</v>
      </c>
      <c r="BR172" s="57" t="s">
        <v>1281</v>
      </c>
      <c r="BS172" s="57" t="s">
        <v>1281</v>
      </c>
      <c r="BT172" s="57" t="s">
        <v>1281</v>
      </c>
      <c r="BU172" s="57" t="s">
        <v>1281</v>
      </c>
      <c r="BV172" s="70">
        <f t="shared" ref="BV172" si="1319">E172</f>
        <v>35</v>
      </c>
      <c r="BW172" s="71" t="str">
        <f t="shared" ref="BW172" si="1320">I172</f>
        <v>-</v>
      </c>
      <c r="BX172" s="72">
        <f t="shared" ref="BX172" si="1321">M172</f>
        <v>75</v>
      </c>
      <c r="BY172" s="71">
        <f t="shared" ref="BY172" si="1322">Q172</f>
        <v>105</v>
      </c>
      <c r="BZ172" s="72">
        <f t="shared" ref="BZ172" si="1323">U172</f>
        <v>109</v>
      </c>
      <c r="CA172" s="71" t="str">
        <f t="shared" ref="CA172" si="1324">Y172</f>
        <v>-</v>
      </c>
      <c r="CB172" s="72">
        <f t="shared" ref="CB172" si="1325">AC172</f>
        <v>152</v>
      </c>
      <c r="CC172" s="71">
        <f t="shared" ref="CC172" si="1326">AG172</f>
        <v>190</v>
      </c>
      <c r="CD172" s="72">
        <f t="shared" ref="CD172" si="1327">AK172</f>
        <v>195</v>
      </c>
      <c r="CE172" s="71">
        <f t="shared" ref="CE172" si="1328">AO172</f>
        <v>241</v>
      </c>
      <c r="CF172" s="72">
        <f t="shared" ref="CF172" si="1329">AS172</f>
        <v>276</v>
      </c>
      <c r="CG172" s="71" t="str">
        <f t="shared" ref="CG172" si="1330">AW172</f>
        <v>-</v>
      </c>
      <c r="CH172" s="70">
        <f t="shared" ref="CH172" si="1331">G172</f>
        <v>71</v>
      </c>
      <c r="CI172" s="71" t="str">
        <f t="shared" ref="CI172" si="1332">K172</f>
        <v>-</v>
      </c>
      <c r="CJ172" s="72">
        <f t="shared" ref="CJ172" si="1333">O172</f>
        <v>102</v>
      </c>
      <c r="CK172" s="72">
        <f t="shared" ref="CK172" si="1334">S172</f>
        <v>108</v>
      </c>
      <c r="CL172" s="72">
        <f t="shared" ref="CL172" si="1335">W172</f>
        <v>144</v>
      </c>
      <c r="CM172" s="72" t="str">
        <f t="shared" ref="CM172" si="1336">AA172</f>
        <v>-</v>
      </c>
      <c r="CN172" s="72">
        <f t="shared" ref="CN172" si="1337">AE172</f>
        <v>179</v>
      </c>
      <c r="CO172" s="72">
        <f t="shared" ref="CO172" si="1338">AI172</f>
        <v>192</v>
      </c>
      <c r="CP172" s="72">
        <f t="shared" ref="CP172" si="1339">AM172</f>
        <v>229</v>
      </c>
      <c r="CQ172" s="72">
        <f t="shared" ref="CQ172" si="1340">AQ172</f>
        <v>268</v>
      </c>
      <c r="CR172" s="72">
        <f t="shared" ref="CR172" si="1341">AU172</f>
        <v>308</v>
      </c>
      <c r="CS172" s="72" t="str">
        <f t="shared" ref="CS172" si="1342">AY172</f>
        <v>-</v>
      </c>
      <c r="CT172" s="23" t="e">
        <f t="shared" ref="CT172" si="1343">M172-K172</f>
        <v>#VALUE!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 t="shared" si="1007"/>
        <v>ccr5_human__wt</v>
      </c>
      <c r="B173" s="3" t="s">
        <v>173</v>
      </c>
      <c r="C173" s="3" t="s">
        <v>100</v>
      </c>
      <c r="D173" s="3" t="str">
        <f>IFERROR(MID(VLOOKUP($B173,Seqs!$A:$B,2,0),E173,1),"")</f>
        <v>K</v>
      </c>
      <c r="E173" s="3">
        <v>22</v>
      </c>
      <c r="F173" s="3" t="str">
        <f>IFERROR(MID(VLOOKUP($B173,Seqs!$A:$B,2,0),G173,1),"")</f>
        <v>C</v>
      </c>
      <c r="G173" s="3">
        <v>58</v>
      </c>
      <c r="H173" s="3" t="str">
        <f>IFERROR(MID(VLOOKUP($B173,Seqs!$A:$B,2,0),I173,1),"")</f>
        <v>K</v>
      </c>
      <c r="I173" s="23">
        <v>59</v>
      </c>
      <c r="J173" s="3" t="str">
        <f>IFERROR(MID(VLOOKUP($B173,Seqs!$A:$B,2,0),K173,1),"")</f>
        <v>K</v>
      </c>
      <c r="K173" s="23">
        <v>62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92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9">
        <v>141</v>
      </c>
      <c r="AD173" s="3" t="str">
        <f>IFERROR(MID(VLOOKUP($B173,Seqs!$A:$B,2,0),AE173,1),"")</f>
        <v>T</v>
      </c>
      <c r="AE173" s="3">
        <v>167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G</v>
      </c>
      <c r="AQ173" s="3">
        <v>265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>G</v>
      </c>
      <c r="AW173" s="3">
        <v>301</v>
      </c>
      <c r="AX173" s="3" t="str">
        <f>IFERROR(MID(VLOOKUP($B173,Seqs!$A:$B,2,0),AY173,1),"")</f>
        <v>Q</v>
      </c>
      <c r="AY173" s="3">
        <v>313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1008"/>
        <v>1</v>
      </c>
      <c r="BC173" s="23">
        <f t="shared" si="785"/>
        <v>272</v>
      </c>
      <c r="BD173" s="34" t="s">
        <v>23</v>
      </c>
      <c r="BE173" s="3" t="s">
        <v>23</v>
      </c>
      <c r="BF173" s="118" t="s">
        <v>23</v>
      </c>
      <c r="BG173" s="49" t="s">
        <v>1366</v>
      </c>
      <c r="BH173" s="49" t="s">
        <v>1371</v>
      </c>
      <c r="BI173" s="1"/>
      <c r="BJ173" s="70" t="s">
        <v>1281</v>
      </c>
      <c r="BK173" s="57" t="s">
        <v>1281</v>
      </c>
      <c r="BL173" s="57" t="s">
        <v>1281</v>
      </c>
      <c r="BM173" s="57" t="s">
        <v>1281</v>
      </c>
      <c r="BN173" s="57" t="s">
        <v>1281</v>
      </c>
      <c r="BO173" s="57" t="s">
        <v>1281</v>
      </c>
      <c r="BP173" s="57" t="s">
        <v>1281</v>
      </c>
      <c r="BQ173" s="57" t="s">
        <v>1281</v>
      </c>
      <c r="BR173" s="57" t="s">
        <v>1281</v>
      </c>
      <c r="BS173" s="57" t="s">
        <v>1281</v>
      </c>
      <c r="BT173" s="57" t="s">
        <v>1281</v>
      </c>
      <c r="BU173" s="57" t="s">
        <v>1281</v>
      </c>
      <c r="BV173" s="70">
        <f t="shared" si="786"/>
        <v>22</v>
      </c>
      <c r="BW173" s="71">
        <f t="shared" si="787"/>
        <v>59</v>
      </c>
      <c r="BX173" s="72">
        <f t="shared" si="788"/>
        <v>63</v>
      </c>
      <c r="BY173" s="71">
        <f t="shared" si="789"/>
        <v>93</v>
      </c>
      <c r="BZ173" s="72">
        <f t="shared" si="790"/>
        <v>97</v>
      </c>
      <c r="CA173" s="71">
        <f t="shared" si="791"/>
        <v>133</v>
      </c>
      <c r="CB173" s="72">
        <f t="shared" si="792"/>
        <v>141</v>
      </c>
      <c r="CC173" s="71">
        <f t="shared" si="793"/>
        <v>178</v>
      </c>
      <c r="CD173" s="72">
        <f t="shared" si="794"/>
        <v>186</v>
      </c>
      <c r="CE173" s="71">
        <f t="shared" si="795"/>
        <v>228</v>
      </c>
      <c r="CF173" s="72">
        <f t="shared" si="796"/>
        <v>268</v>
      </c>
      <c r="CG173" s="71">
        <f t="shared" si="797"/>
        <v>301</v>
      </c>
      <c r="CH173" s="70">
        <f t="shared" si="798"/>
        <v>58</v>
      </c>
      <c r="CI173" s="71">
        <f t="shared" si="799"/>
        <v>62</v>
      </c>
      <c r="CJ173" s="72">
        <f t="shared" si="800"/>
        <v>92</v>
      </c>
      <c r="CK173" s="72">
        <f t="shared" si="801"/>
        <v>96</v>
      </c>
      <c r="CL173" s="72">
        <f t="shared" si="802"/>
        <v>132</v>
      </c>
      <c r="CM173" s="72">
        <f t="shared" si="803"/>
        <v>140</v>
      </c>
      <c r="CN173" s="72">
        <f t="shared" si="804"/>
        <v>167</v>
      </c>
      <c r="CO173" s="72">
        <f t="shared" si="805"/>
        <v>180</v>
      </c>
      <c r="CP173" s="72">
        <f t="shared" si="806"/>
        <v>224</v>
      </c>
      <c r="CQ173" s="72">
        <f t="shared" si="807"/>
        <v>265</v>
      </c>
      <c r="CR173" s="72">
        <f t="shared" si="808"/>
        <v>300</v>
      </c>
      <c r="CS173" s="72">
        <f t="shared" si="809"/>
        <v>313</v>
      </c>
      <c r="CT173" s="23">
        <f t="shared" si="810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007"/>
        <v>ccr5_human_4MBS</v>
      </c>
      <c r="B174" s="3" t="s">
        <v>173</v>
      </c>
      <c r="C174" s="3" t="s">
        <v>74</v>
      </c>
      <c r="D174" s="3" t="str">
        <f>IFERROR(MID(VLOOKUP($B174,Seqs!$A:$B,2,0),E174,1),"")</f>
        <v>V</v>
      </c>
      <c r="E174" s="3">
        <v>25</v>
      </c>
      <c r="F174" s="3" t="str">
        <f>IFERROR(MID(VLOOKUP($B174,Seqs!$A:$B,2,0),G174,1),"")</f>
        <v>C</v>
      </c>
      <c r="G174" s="3">
        <v>58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63</v>
      </c>
      <c r="N174" s="3" t="str">
        <f>IFERROR(MID(VLOOKUP($B174,Seqs!$A:$B,2,0),O174,1),"")</f>
        <v>A</v>
      </c>
      <c r="O174" s="3">
        <v>92</v>
      </c>
      <c r="P174" s="3" t="str">
        <f>IFERROR(MID(VLOOKUP($B174,Seqs!$A:$B,2,0),Q174,1),"")</f>
        <v>Q</v>
      </c>
      <c r="Q174" s="3">
        <v>93</v>
      </c>
      <c r="R174" s="3" t="str">
        <f>IFERROR(MID(VLOOKUP($B174,Seqs!$A:$B,2,0),S174,1),"")</f>
        <v>F</v>
      </c>
      <c r="S174" s="3">
        <v>96</v>
      </c>
      <c r="T174" s="3" t="str">
        <f>IFERROR(MID(VLOOKUP($B174,Seqs!$A:$B,2,0),U174,1),"")</f>
        <v>G</v>
      </c>
      <c r="U174" s="3">
        <v>97</v>
      </c>
      <c r="V174" s="3" t="str">
        <f>IFERROR(MID(VLOOKUP($B174,Seqs!$A:$B,2,0),W174,1),"")</f>
        <v>H</v>
      </c>
      <c r="W174" s="3">
        <v>132</v>
      </c>
      <c r="X174" s="3" t="str">
        <f>IFERROR(MID(VLOOKUP($B174,Seqs!$A:$B,2,0),Y174,1),"")</f>
        <v>A</v>
      </c>
      <c r="Y174" s="3">
        <v>133</v>
      </c>
      <c r="Z174" s="3" t="str">
        <f>IFERROR(MID(VLOOKUP($B174,Seqs!$A:$B,2,0),AA174,1),"")</f>
        <v>R</v>
      </c>
      <c r="AA174" s="3">
        <v>140</v>
      </c>
      <c r="AB174" s="3" t="str">
        <f>IFERROR(MID(VLOOKUP($B174,Seqs!$A:$B,2,0),AC174,1),"")</f>
        <v>T</v>
      </c>
      <c r="AC174" s="9">
        <v>141</v>
      </c>
      <c r="AD174" s="3" t="str">
        <f>IFERROR(MID(VLOOKUP($B174,Seqs!$A:$B,2,0),AE174,1),"")</f>
        <v>T</v>
      </c>
      <c r="AE174" s="3">
        <v>167</v>
      </c>
      <c r="AF174" s="3" t="str">
        <f>IFERROR(MID(VLOOKUP($B174,Seqs!$A:$B,2,0),AG174,1),"")</f>
        <v>C</v>
      </c>
      <c r="AG174" s="3">
        <v>178</v>
      </c>
      <c r="AH174" s="3" t="str">
        <f>IFERROR(MID(VLOOKUP($B174,Seqs!$A:$B,2,0),AI174,1),"")</f>
        <v>S</v>
      </c>
      <c r="AI174" s="3">
        <v>180</v>
      </c>
      <c r="AJ174" s="3" t="str">
        <f>IFERROR(MID(VLOOKUP($B174,Seqs!$A:$B,2,0),AK174,1),"")</f>
        <v>Q</v>
      </c>
      <c r="AK174" s="3">
        <v>186</v>
      </c>
      <c r="AL174" s="3" t="str">
        <f>IFERROR(MID(VLOOKUP($B174,Seqs!$A:$B,2,0),AM174,1),"")</f>
        <v>R</v>
      </c>
      <c r="AM174" s="3">
        <v>223</v>
      </c>
      <c r="AN174" s="3" t="str">
        <f>IFERROR(MID(VLOOKUP($B174,Seqs!$A:$B,2,0),AO174,1),"")</f>
        <v>K</v>
      </c>
      <c r="AO174" s="3">
        <v>228</v>
      </c>
      <c r="AP174" s="3" t="str">
        <f>IFERROR(MID(VLOOKUP($B174,Seqs!$A:$B,2,0),AQ174,1),"")</f>
        <v>G</v>
      </c>
      <c r="AQ174" s="3">
        <v>265</v>
      </c>
      <c r="AR174" s="3" t="str">
        <f>IFERROR(MID(VLOOKUP($B174,Seqs!$A:$B,2,0),AS174,1),"")</f>
        <v>N</v>
      </c>
      <c r="AS174" s="3">
        <v>268</v>
      </c>
      <c r="AT174" s="3" t="str">
        <f>IFERROR(MID(VLOOKUP($B174,Seqs!$A:$B,2,0),AU174,1),"")</f>
        <v>V</v>
      </c>
      <c r="AU174" s="3">
        <v>300</v>
      </c>
      <c r="AV174" s="3" t="str">
        <f>IFERROR(MID(VLOOKUP($B174,Seqs!$A:$B,2,0),AW174,1),"")</f>
        <v>G</v>
      </c>
      <c r="AW174" s="3">
        <v>301</v>
      </c>
      <c r="AX174" s="3" t="str">
        <f>IFERROR(MID(VLOOKUP($B174,Seqs!$A:$B,2,0),AY174,1),"")</f>
        <v>Q</v>
      </c>
      <c r="AY174" s="3">
        <v>313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1008"/>
        <v>1</v>
      </c>
      <c r="BC174" s="23">
        <f t="shared" si="785"/>
        <v>265</v>
      </c>
      <c r="BD174" s="2" t="s">
        <v>23</v>
      </c>
      <c r="BE174" s="3" t="s">
        <v>1368</v>
      </c>
      <c r="BF174" s="118">
        <v>2.71</v>
      </c>
      <c r="BG174" s="49" t="s">
        <v>1371</v>
      </c>
      <c r="BH174" s="49" t="s">
        <v>1371</v>
      </c>
      <c r="BI174" s="1"/>
      <c r="BJ174" s="70" t="s">
        <v>1281</v>
      </c>
      <c r="BK174" s="57" t="s">
        <v>1281</v>
      </c>
      <c r="BL174" s="57" t="s">
        <v>1281</v>
      </c>
      <c r="BM174" s="57" t="s">
        <v>1281</v>
      </c>
      <c r="BN174" s="57" t="s">
        <v>1281</v>
      </c>
      <c r="BO174" s="57" t="s">
        <v>1281</v>
      </c>
      <c r="BP174" s="57" t="s">
        <v>1281</v>
      </c>
      <c r="BQ174" s="57" t="s">
        <v>1281</v>
      </c>
      <c r="BR174" s="57" t="s">
        <v>1281</v>
      </c>
      <c r="BS174" s="57" t="s">
        <v>1281</v>
      </c>
      <c r="BT174" s="57" t="s">
        <v>1281</v>
      </c>
      <c r="BU174" s="57" t="s">
        <v>1281</v>
      </c>
      <c r="BV174" s="70">
        <f t="shared" si="786"/>
        <v>25</v>
      </c>
      <c r="BW174" s="71" t="str">
        <f t="shared" si="787"/>
        <v>-</v>
      </c>
      <c r="BX174" s="72">
        <f t="shared" si="788"/>
        <v>63</v>
      </c>
      <c r="BY174" s="71">
        <f t="shared" si="789"/>
        <v>93</v>
      </c>
      <c r="BZ174" s="72">
        <f t="shared" si="790"/>
        <v>97</v>
      </c>
      <c r="CA174" s="71">
        <f t="shared" si="791"/>
        <v>133</v>
      </c>
      <c r="CB174" s="72">
        <f t="shared" si="792"/>
        <v>141</v>
      </c>
      <c r="CC174" s="71">
        <f t="shared" si="793"/>
        <v>178</v>
      </c>
      <c r="CD174" s="72">
        <f t="shared" si="794"/>
        <v>186</v>
      </c>
      <c r="CE174" s="71">
        <f t="shared" si="795"/>
        <v>228</v>
      </c>
      <c r="CF174" s="72">
        <f t="shared" si="796"/>
        <v>268</v>
      </c>
      <c r="CG174" s="71">
        <f t="shared" si="797"/>
        <v>301</v>
      </c>
      <c r="CH174" s="70">
        <f t="shared" si="798"/>
        <v>58</v>
      </c>
      <c r="CI174" s="71" t="str">
        <f t="shared" si="799"/>
        <v>-</v>
      </c>
      <c r="CJ174" s="72">
        <f t="shared" si="800"/>
        <v>92</v>
      </c>
      <c r="CK174" s="72">
        <f t="shared" si="801"/>
        <v>96</v>
      </c>
      <c r="CL174" s="72">
        <f t="shared" si="802"/>
        <v>132</v>
      </c>
      <c r="CM174" s="72">
        <f t="shared" si="803"/>
        <v>140</v>
      </c>
      <c r="CN174" s="72">
        <f t="shared" si="804"/>
        <v>167</v>
      </c>
      <c r="CO174" s="72">
        <f t="shared" si="805"/>
        <v>180</v>
      </c>
      <c r="CP174" s="72">
        <f t="shared" si="806"/>
        <v>223</v>
      </c>
      <c r="CQ174" s="72">
        <f t="shared" si="807"/>
        <v>265</v>
      </c>
      <c r="CR174" s="72">
        <f t="shared" si="808"/>
        <v>300</v>
      </c>
      <c r="CS174" s="72">
        <f t="shared" si="809"/>
        <v>313</v>
      </c>
      <c r="CT174" s="23" t="e">
        <f t="shared" si="810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>CONCATENATE(B175,"_",C175)</f>
        <v>ccr5_human_5UIW</v>
      </c>
      <c r="B175" s="3" t="s">
        <v>173</v>
      </c>
      <c r="C175" s="3" t="s">
        <v>1417</v>
      </c>
      <c r="D175" s="3" t="str">
        <f>IFERROR(MID(VLOOKUP($B175,Seqs!$A:$B,2,0),E175,1),"")</f>
        <v>K</v>
      </c>
      <c r="E175" s="3">
        <v>22</v>
      </c>
      <c r="F175" s="3" t="str">
        <f>IFERROR(MID(VLOOKUP($B175,Seqs!$A:$B,2,0),G175,1),"")</f>
        <v>C</v>
      </c>
      <c r="G175" s="3">
        <v>58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63</v>
      </c>
      <c r="N175" s="3" t="str">
        <f>IFERROR(MID(VLOOKUP($B175,Seqs!$A:$B,2,0),O175,1),"")</f>
        <v>A</v>
      </c>
      <c r="O175" s="3">
        <v>92</v>
      </c>
      <c r="P175" s="3" t="str">
        <f>IFERROR(MID(VLOOKUP($B175,Seqs!$A:$B,2,0),Q175,1),"")</f>
        <v>Q</v>
      </c>
      <c r="Q175" s="3">
        <v>93</v>
      </c>
      <c r="R175" s="3" t="str">
        <f>IFERROR(MID(VLOOKUP($B175,Seqs!$A:$B,2,0),S175,1),"")</f>
        <v>F</v>
      </c>
      <c r="S175" s="3">
        <v>96</v>
      </c>
      <c r="T175" s="3" t="str">
        <f>IFERROR(MID(VLOOKUP($B175,Seqs!$A:$B,2,0),U175,1),"")</f>
        <v>G</v>
      </c>
      <c r="U175" s="3">
        <v>97</v>
      </c>
      <c r="V175" s="3" t="str">
        <f>IFERROR(MID(VLOOKUP($B175,Seqs!$A:$B,2,0),W175,1),"")</f>
        <v>H</v>
      </c>
      <c r="W175" s="3">
        <v>132</v>
      </c>
      <c r="X175" s="3" t="str">
        <f>IFERROR(MID(VLOOKUP($B175,Seqs!$A:$B,2,0),Y175,1),"")</f>
        <v>A</v>
      </c>
      <c r="Y175" s="3">
        <v>133</v>
      </c>
      <c r="Z175" s="3" t="str">
        <f>IFERROR(MID(VLOOKUP($B175,Seqs!$A:$B,2,0),AA175,1),"")</f>
        <v>R</v>
      </c>
      <c r="AA175" s="3">
        <v>140</v>
      </c>
      <c r="AB175" s="3" t="str">
        <f>IFERROR(MID(VLOOKUP($B175,Seqs!$A:$B,2,0),AC175,1),"")</f>
        <v>T</v>
      </c>
      <c r="AC175" s="3">
        <v>141</v>
      </c>
      <c r="AD175" s="3" t="str">
        <f>IFERROR(MID(VLOOKUP($B175,Seqs!$A:$B,2,0),AE175,1),"")</f>
        <v>T</v>
      </c>
      <c r="AE175" s="3">
        <v>167</v>
      </c>
      <c r="AF175" s="3" t="str">
        <f>IFERROR(MID(VLOOKUP($B175,Seqs!$A:$B,2,0),AG175,1),"")</f>
        <v>C</v>
      </c>
      <c r="AG175" s="3">
        <v>178</v>
      </c>
      <c r="AH175" s="3" t="str">
        <f>IFERROR(MID(VLOOKUP($B175,Seqs!$A:$B,2,0),AI175,1),"")</f>
        <v>S</v>
      </c>
      <c r="AI175" s="3">
        <v>180</v>
      </c>
      <c r="AJ175" s="3" t="str">
        <f>IFERROR(MID(VLOOKUP($B175,Seqs!$A:$B,2,0),AK175,1),"")</f>
        <v>Q</v>
      </c>
      <c r="AK175" s="3">
        <v>186</v>
      </c>
      <c r="AL175" s="3" t="str">
        <f>IFERROR(MID(VLOOKUP($B175,Seqs!$A:$B,2,0),AM175,1),"")</f>
        <v>R</v>
      </c>
      <c r="AM175" s="3">
        <v>223</v>
      </c>
      <c r="AN175" s="3" t="str">
        <f>IFERROR(MID(VLOOKUP($B175,Seqs!$A:$B,2,0),AO175,1),"")</f>
        <v>E</v>
      </c>
      <c r="AO175" s="3">
        <v>227</v>
      </c>
      <c r="AP175" s="3" t="str">
        <f>IFERROR(MID(VLOOKUP($B175,Seqs!$A:$B,2,0),AQ175,1),"")</f>
        <v>Q</v>
      </c>
      <c r="AQ175" s="3">
        <v>261</v>
      </c>
      <c r="AR175" s="3" t="str">
        <f>IFERROR(MID(VLOOKUP($B175,Seqs!$A:$B,2,0),AS175,1),"")</f>
        <v>N</v>
      </c>
      <c r="AS175" s="3">
        <v>268</v>
      </c>
      <c r="AT175" s="3" t="str">
        <f>IFERROR(MID(VLOOKUP($B175,Seqs!$A:$B,2,0),AU175,1),"")</f>
        <v>V</v>
      </c>
      <c r="AU175" s="3">
        <v>300</v>
      </c>
      <c r="AV175" s="3" t="str">
        <f>IFERROR(MID(VLOOKUP($B175,Seqs!$A:$B,2,0),AW175,1),"")</f>
        <v>G</v>
      </c>
      <c r="AW175" s="3">
        <v>301</v>
      </c>
      <c r="AX175" s="3" t="str">
        <f>IFERROR(MID(VLOOKUP($B175,Seqs!$A:$B,2,0),AY175,1),"")</f>
        <v>I</v>
      </c>
      <c r="AY175" s="3">
        <v>316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268</v>
      </c>
      <c r="BD175" s="2" t="s">
        <v>1370</v>
      </c>
      <c r="BE175" s="3" t="s">
        <v>1368</v>
      </c>
      <c r="BF175" s="118">
        <v>2.2000000000000002</v>
      </c>
      <c r="BG175" s="49" t="s">
        <v>1371</v>
      </c>
      <c r="BH175" s="49" t="s">
        <v>1371</v>
      </c>
      <c r="BI175" s="1"/>
      <c r="BJ175" s="70" t="s">
        <v>1281</v>
      </c>
      <c r="BK175" s="57" t="s">
        <v>1281</v>
      </c>
      <c r="BL175" s="57" t="s">
        <v>1281</v>
      </c>
      <c r="BM175" s="57" t="s">
        <v>1281</v>
      </c>
      <c r="BN175" s="57" t="s">
        <v>1281</v>
      </c>
      <c r="BO175" s="57" t="s">
        <v>1281</v>
      </c>
      <c r="BP175" s="57" t="s">
        <v>1281</v>
      </c>
      <c r="BQ175" s="57" t="s">
        <v>1281</v>
      </c>
      <c r="BR175" s="57" t="s">
        <v>1281</v>
      </c>
      <c r="BS175" s="57" t="s">
        <v>1281</v>
      </c>
      <c r="BT175" s="57" t="s">
        <v>1281</v>
      </c>
      <c r="BU175" s="57" t="s">
        <v>1281</v>
      </c>
      <c r="BV175" s="70">
        <f>E175</f>
        <v>22</v>
      </c>
      <c r="BW175" s="71" t="str">
        <f>I175</f>
        <v>-</v>
      </c>
      <c r="BX175" s="72">
        <f>M175</f>
        <v>63</v>
      </c>
      <c r="BY175" s="71">
        <f>Q175</f>
        <v>93</v>
      </c>
      <c r="BZ175" s="72">
        <f>U175</f>
        <v>97</v>
      </c>
      <c r="CA175" s="71">
        <f>Y175</f>
        <v>133</v>
      </c>
      <c r="CB175" s="72">
        <f>AC175</f>
        <v>141</v>
      </c>
      <c r="CC175" s="71">
        <f>AG175</f>
        <v>178</v>
      </c>
      <c r="CD175" s="72">
        <f>AK175</f>
        <v>186</v>
      </c>
      <c r="CE175" s="71">
        <f>AO175</f>
        <v>227</v>
      </c>
      <c r="CF175" s="72">
        <f>AS175</f>
        <v>268</v>
      </c>
      <c r="CG175" s="71">
        <f>AW175</f>
        <v>301</v>
      </c>
      <c r="CH175" s="70">
        <f>G175</f>
        <v>58</v>
      </c>
      <c r="CI175" s="71" t="str">
        <f>K175</f>
        <v>-</v>
      </c>
      <c r="CJ175" s="72">
        <f>O175</f>
        <v>92</v>
      </c>
      <c r="CK175" s="72">
        <f>S175</f>
        <v>96</v>
      </c>
      <c r="CL175" s="72">
        <f>W175</f>
        <v>132</v>
      </c>
      <c r="CM175" s="72">
        <f>AA175</f>
        <v>140</v>
      </c>
      <c r="CN175" s="72">
        <f>AE175</f>
        <v>167</v>
      </c>
      <c r="CO175" s="72">
        <f>AI175</f>
        <v>180</v>
      </c>
      <c r="CP175" s="72">
        <f>AM175</f>
        <v>223</v>
      </c>
      <c r="CQ175" s="72">
        <f>AQ175</f>
        <v>261</v>
      </c>
      <c r="CR175" s="72">
        <f>AU175</f>
        <v>300</v>
      </c>
      <c r="CS175" s="72">
        <f>AY175</f>
        <v>316</v>
      </c>
      <c r="CT175" s="23" t="e">
        <f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>CONCATENATE(B176,"_",C176)</f>
        <v>ccr5_human_6AKX</v>
      </c>
      <c r="B176" s="3" t="s">
        <v>173</v>
      </c>
      <c r="C176" s="3" t="s">
        <v>1518</v>
      </c>
      <c r="D176" s="3" t="str">
        <f>IFERROR(MID(VLOOKUP($B176,Seqs!$A:$B,2,0),E176,1),"")</f>
        <v>V</v>
      </c>
      <c r="E176" s="3">
        <v>25</v>
      </c>
      <c r="F176" s="3" t="str">
        <f>IFERROR(MID(VLOOKUP($B176,Seqs!$A:$B,2,0),G176,1),"")</f>
        <v>C</v>
      </c>
      <c r="G176" s="3">
        <v>58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63</v>
      </c>
      <c r="N176" s="3" t="str">
        <f>IFERROR(MID(VLOOKUP($B176,Seqs!$A:$B,2,0),O176,1),"")</f>
        <v>A</v>
      </c>
      <c r="O176" s="3">
        <v>92</v>
      </c>
      <c r="P176" s="3" t="str">
        <f>IFERROR(MID(VLOOKUP($B176,Seqs!$A:$B,2,0),Q176,1),"")</f>
        <v>Q</v>
      </c>
      <c r="Q176" s="3">
        <v>93</v>
      </c>
      <c r="R176" s="3" t="str">
        <f>IFERROR(MID(VLOOKUP($B176,Seqs!$A:$B,2,0),S176,1),"")</f>
        <v>F</v>
      </c>
      <c r="S176" s="3">
        <v>96</v>
      </c>
      <c r="T176" s="3" t="str">
        <f>IFERROR(MID(VLOOKUP($B176,Seqs!$A:$B,2,0),U176,1),"")</f>
        <v>G</v>
      </c>
      <c r="U176" s="3">
        <v>97</v>
      </c>
      <c r="V176" s="3" t="str">
        <f>IFERROR(MID(VLOOKUP($B176,Seqs!$A:$B,2,0),W176,1),"")</f>
        <v>H</v>
      </c>
      <c r="W176" s="3">
        <v>132</v>
      </c>
      <c r="X176" s="3" t="str">
        <f>IFERROR(MID(VLOOKUP($B176,Seqs!$A:$B,2,0),Y176,1),"")</f>
        <v>A</v>
      </c>
      <c r="Y176" s="3">
        <v>133</v>
      </c>
      <c r="Z176" s="3" t="str">
        <f>IFERROR(MID(VLOOKUP($B176,Seqs!$A:$B,2,0),AA176,1),"")</f>
        <v>R</v>
      </c>
      <c r="AA176" s="3">
        <v>140</v>
      </c>
      <c r="AB176" s="3" t="str">
        <f>IFERROR(MID(VLOOKUP($B176,Seqs!$A:$B,2,0),AC176,1),"")</f>
        <v>T</v>
      </c>
      <c r="AC176" s="3">
        <v>141</v>
      </c>
      <c r="AD176" s="3" t="str">
        <f>IFERROR(MID(VLOOKUP($B176,Seqs!$A:$B,2,0),AE176,1),"")</f>
        <v>T</v>
      </c>
      <c r="AE176" s="3">
        <v>167</v>
      </c>
      <c r="AF176" s="3" t="str">
        <f>IFERROR(MID(VLOOKUP($B176,Seqs!$A:$B,2,0),AG176,1),"")</f>
        <v>C</v>
      </c>
      <c r="AG176" s="3">
        <v>178</v>
      </c>
      <c r="AH176" s="3" t="str">
        <f>IFERROR(MID(VLOOKUP($B176,Seqs!$A:$B,2,0),AI176,1),"")</f>
        <v>S</v>
      </c>
      <c r="AI176" s="3">
        <v>180</v>
      </c>
      <c r="AJ176" s="3" t="str">
        <f>IFERROR(MID(VLOOKUP($B176,Seqs!$A:$B,2,0),AK176,1),"")</f>
        <v>Q</v>
      </c>
      <c r="AK176" s="3">
        <v>186</v>
      </c>
      <c r="AL176" s="3" t="str">
        <f>IFERROR(MID(VLOOKUP($B176,Seqs!$A:$B,2,0),AM176,1),"")</f>
        <v>R</v>
      </c>
      <c r="AM176" s="3">
        <v>223</v>
      </c>
      <c r="AN176" s="3" t="str">
        <f>IFERROR(MID(VLOOKUP($B176,Seqs!$A:$B,2,0),AO176,1),"")</f>
        <v>K</v>
      </c>
      <c r="AO176" s="3">
        <v>228</v>
      </c>
      <c r="AP176" s="3" t="str">
        <f>IFERROR(MID(VLOOKUP($B176,Seqs!$A:$B,2,0),AQ176,1),"")</f>
        <v>G</v>
      </c>
      <c r="AQ176" s="3">
        <v>265</v>
      </c>
      <c r="AR176" s="3" t="str">
        <f>IFERROR(MID(VLOOKUP($B176,Seqs!$A:$B,2,0),AS176,1),"")</f>
        <v>N</v>
      </c>
      <c r="AS176" s="3">
        <v>268</v>
      </c>
      <c r="AT176" s="3" t="str">
        <f>IFERROR(MID(VLOOKUP($B176,Seqs!$A:$B,2,0),AU176,1),"")</f>
        <v>V</v>
      </c>
      <c r="AU176" s="3">
        <v>300</v>
      </c>
      <c r="AV176" s="3" t="str">
        <f>IFERROR(MID(VLOOKUP($B176,Seqs!$A:$B,2,0),AW176,1),"")</f>
        <v>G</v>
      </c>
      <c r="AW176" s="3">
        <v>301</v>
      </c>
      <c r="AX176" s="3" t="str">
        <f>IFERROR(MID(VLOOKUP($B176,Seqs!$A:$B,2,0),AY176,1),"")</f>
        <v>Q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265</v>
      </c>
      <c r="BD176" s="2" t="s">
        <v>23</v>
      </c>
      <c r="BE176" s="3" t="s">
        <v>1368</v>
      </c>
      <c r="BF176" s="118">
        <v>2.8</v>
      </c>
      <c r="BG176" s="49" t="s">
        <v>1275</v>
      </c>
      <c r="BH176" s="49" t="s">
        <v>1275</v>
      </c>
      <c r="BI176" s="1"/>
      <c r="BJ176" s="70" t="s">
        <v>1281</v>
      </c>
      <c r="BK176" s="57" t="s">
        <v>1281</v>
      </c>
      <c r="BL176" s="57" t="s">
        <v>1281</v>
      </c>
      <c r="BM176" s="57" t="s">
        <v>1281</v>
      </c>
      <c r="BN176" s="57" t="s">
        <v>1281</v>
      </c>
      <c r="BO176" s="57" t="s">
        <v>1281</v>
      </c>
      <c r="BP176" s="57" t="s">
        <v>1281</v>
      </c>
      <c r="BQ176" s="57" t="s">
        <v>1281</v>
      </c>
      <c r="BR176" s="57" t="s">
        <v>1281</v>
      </c>
      <c r="BS176" s="57" t="s">
        <v>1281</v>
      </c>
      <c r="BT176" s="57" t="s">
        <v>1281</v>
      </c>
      <c r="BU176" s="57" t="s">
        <v>1281</v>
      </c>
      <c r="BV176" s="70">
        <f>E176</f>
        <v>25</v>
      </c>
      <c r="BW176" s="71" t="str">
        <f>I176</f>
        <v>-</v>
      </c>
      <c r="BX176" s="72">
        <f>M176</f>
        <v>63</v>
      </c>
      <c r="BY176" s="71">
        <f>Q176</f>
        <v>93</v>
      </c>
      <c r="BZ176" s="72">
        <f>U176</f>
        <v>97</v>
      </c>
      <c r="CA176" s="71">
        <f>Y176</f>
        <v>133</v>
      </c>
      <c r="CB176" s="72">
        <f>AC176</f>
        <v>141</v>
      </c>
      <c r="CC176" s="71">
        <f>AG176</f>
        <v>178</v>
      </c>
      <c r="CD176" s="72">
        <f>AK176</f>
        <v>186</v>
      </c>
      <c r="CE176" s="71">
        <f>AO176</f>
        <v>228</v>
      </c>
      <c r="CF176" s="72">
        <f>AS176</f>
        <v>268</v>
      </c>
      <c r="CG176" s="71">
        <f>AW176</f>
        <v>301</v>
      </c>
      <c r="CH176" s="70">
        <f>G176</f>
        <v>58</v>
      </c>
      <c r="CI176" s="71" t="str">
        <f>K176</f>
        <v>-</v>
      </c>
      <c r="CJ176" s="72">
        <f>O176</f>
        <v>92</v>
      </c>
      <c r="CK176" s="72">
        <f>S176</f>
        <v>96</v>
      </c>
      <c r="CL176" s="72">
        <f>W176</f>
        <v>132</v>
      </c>
      <c r="CM176" s="72">
        <f>AA176</f>
        <v>140</v>
      </c>
      <c r="CN176" s="72">
        <f>AE176</f>
        <v>167</v>
      </c>
      <c r="CO176" s="72">
        <f>AI176</f>
        <v>180</v>
      </c>
      <c r="CP176" s="72">
        <f>AM176</f>
        <v>223</v>
      </c>
      <c r="CQ176" s="72">
        <f>AQ176</f>
        <v>265</v>
      </c>
      <c r="CR176" s="72">
        <f>AU176</f>
        <v>300</v>
      </c>
      <c r="CS176" s="72">
        <f>AY176</f>
        <v>313</v>
      </c>
      <c r="CT176" s="23" t="e">
        <f>M176-K176</f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ccr5_human_6AKY</v>
      </c>
      <c r="B177" s="3" t="s">
        <v>173</v>
      </c>
      <c r="C177" s="3" t="s">
        <v>1519</v>
      </c>
      <c r="D177" s="3" t="str">
        <f>IFERROR(MID(VLOOKUP($B177,Seqs!$A:$B,2,0),E177,1),"")</f>
        <v>V</v>
      </c>
      <c r="E177" s="3">
        <v>25</v>
      </c>
      <c r="F177" s="3" t="str">
        <f>IFERROR(MID(VLOOKUP($B177,Seqs!$A:$B,2,0),G177,1),"")</f>
        <v>C</v>
      </c>
      <c r="G177" s="3">
        <v>58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63</v>
      </c>
      <c r="N177" s="3" t="str">
        <f>IFERROR(MID(VLOOKUP($B177,Seqs!$A:$B,2,0),O177,1),"")</f>
        <v>A</v>
      </c>
      <c r="O177" s="3">
        <v>92</v>
      </c>
      <c r="P177" s="3" t="str">
        <f>IFERROR(MID(VLOOKUP($B177,Seqs!$A:$B,2,0),Q177,1),"")</f>
        <v>Q</v>
      </c>
      <c r="Q177" s="3">
        <v>93</v>
      </c>
      <c r="R177" s="3" t="str">
        <f>IFERROR(MID(VLOOKUP($B177,Seqs!$A:$B,2,0),S177,1),"")</f>
        <v>F</v>
      </c>
      <c r="S177" s="3">
        <v>96</v>
      </c>
      <c r="T177" s="3" t="str">
        <f>IFERROR(MID(VLOOKUP($B177,Seqs!$A:$B,2,0),U177,1),"")</f>
        <v>G</v>
      </c>
      <c r="U177" s="3">
        <v>97</v>
      </c>
      <c r="V177" s="3" t="str">
        <f>IFERROR(MID(VLOOKUP($B177,Seqs!$A:$B,2,0),W177,1),"")</f>
        <v>H</v>
      </c>
      <c r="W177" s="3">
        <v>132</v>
      </c>
      <c r="X177" s="3" t="str">
        <f>IFERROR(MID(VLOOKUP($B177,Seqs!$A:$B,2,0),Y177,1),"")</f>
        <v>A</v>
      </c>
      <c r="Y177" s="3">
        <v>133</v>
      </c>
      <c r="Z177" s="3" t="str">
        <f>IFERROR(MID(VLOOKUP($B177,Seqs!$A:$B,2,0),AA177,1),"")</f>
        <v>R</v>
      </c>
      <c r="AA177" s="3">
        <v>140</v>
      </c>
      <c r="AB177" s="3" t="str">
        <f>IFERROR(MID(VLOOKUP($B177,Seqs!$A:$B,2,0),AC177,1),"")</f>
        <v>T</v>
      </c>
      <c r="AC177" s="3">
        <v>141</v>
      </c>
      <c r="AD177" s="3" t="str">
        <f>IFERROR(MID(VLOOKUP($B177,Seqs!$A:$B,2,0),AE177,1),"")</f>
        <v>T</v>
      </c>
      <c r="AE177" s="3">
        <v>167</v>
      </c>
      <c r="AF177" s="3" t="str">
        <f>IFERROR(MID(VLOOKUP($B177,Seqs!$A:$B,2,0),AG177,1),"")</f>
        <v>C</v>
      </c>
      <c r="AG177" s="3">
        <v>178</v>
      </c>
      <c r="AH177" s="3" t="str">
        <f>IFERROR(MID(VLOOKUP($B177,Seqs!$A:$B,2,0),AI177,1),"")</f>
        <v>S</v>
      </c>
      <c r="AI177" s="3">
        <v>180</v>
      </c>
      <c r="AJ177" s="3" t="str">
        <f>IFERROR(MID(VLOOKUP($B177,Seqs!$A:$B,2,0),AK177,1),"")</f>
        <v>Q</v>
      </c>
      <c r="AK177" s="3">
        <v>186</v>
      </c>
      <c r="AL177" s="3" t="str">
        <f>IFERROR(MID(VLOOKUP($B177,Seqs!$A:$B,2,0),AM177,1),"")</f>
        <v>R</v>
      </c>
      <c r="AM177" s="3">
        <v>223</v>
      </c>
      <c r="AN177" s="3" t="str">
        <f>IFERROR(MID(VLOOKUP($B177,Seqs!$A:$B,2,0),AO177,1),"")</f>
        <v>H</v>
      </c>
      <c r="AO177" s="3">
        <v>231</v>
      </c>
      <c r="AP177" s="3" t="str">
        <f>IFERROR(MID(VLOOKUP($B177,Seqs!$A:$B,2,0),AQ177,1),"")</f>
        <v>F</v>
      </c>
      <c r="AQ177" s="3">
        <v>260</v>
      </c>
      <c r="AR177" s="3" t="str">
        <f>IFERROR(MID(VLOOKUP($B177,Seqs!$A:$B,2,0),AS177,1),"")</f>
        <v>N</v>
      </c>
      <c r="AS177" s="3">
        <v>268</v>
      </c>
      <c r="AT177" s="3" t="str">
        <f>IFERROR(MID(VLOOKUP($B177,Seqs!$A:$B,2,0),AU177,1),"")</f>
        <v>V</v>
      </c>
      <c r="AU177" s="3">
        <v>300</v>
      </c>
      <c r="AV177" s="3" t="str">
        <f>IFERROR(MID(VLOOKUP($B177,Seqs!$A:$B,2,0),AW177,1),"")</f>
        <v>G</v>
      </c>
      <c r="AW177" s="3">
        <v>301</v>
      </c>
      <c r="AX177" s="3" t="str">
        <f>IFERROR(MID(VLOOKUP($B177,Seqs!$A:$B,2,0),AY177,1),"")</f>
        <v>L</v>
      </c>
      <c r="AY177" s="3">
        <v>308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252</v>
      </c>
      <c r="BD177" s="2" t="s">
        <v>23</v>
      </c>
      <c r="BE177" s="3" t="s">
        <v>1368</v>
      </c>
      <c r="BF177" s="118">
        <v>2.8</v>
      </c>
      <c r="BG177" s="49" t="s">
        <v>1275</v>
      </c>
      <c r="BH177" s="49" t="s">
        <v>1275</v>
      </c>
      <c r="BI177" s="1"/>
      <c r="BJ177" s="70" t="s">
        <v>1281</v>
      </c>
      <c r="BK177" s="57" t="s">
        <v>1281</v>
      </c>
      <c r="BL177" s="57" t="s">
        <v>1281</v>
      </c>
      <c r="BM177" s="57" t="s">
        <v>1281</v>
      </c>
      <c r="BN177" s="57" t="s">
        <v>1281</v>
      </c>
      <c r="BO177" s="57" t="s">
        <v>1281</v>
      </c>
      <c r="BP177" s="57" t="s">
        <v>1281</v>
      </c>
      <c r="BQ177" s="57" t="s">
        <v>1281</v>
      </c>
      <c r="BR177" s="57" t="s">
        <v>1281</v>
      </c>
      <c r="BS177" s="57" t="s">
        <v>1281</v>
      </c>
      <c r="BT177" s="57" t="s">
        <v>1281</v>
      </c>
      <c r="BU177" s="57" t="s">
        <v>1281</v>
      </c>
      <c r="BV177" s="70">
        <f>E177</f>
        <v>25</v>
      </c>
      <c r="BW177" s="71" t="str">
        <f>I177</f>
        <v>-</v>
      </c>
      <c r="BX177" s="72">
        <f>M177</f>
        <v>63</v>
      </c>
      <c r="BY177" s="71">
        <f>Q177</f>
        <v>93</v>
      </c>
      <c r="BZ177" s="72">
        <f>U177</f>
        <v>97</v>
      </c>
      <c r="CA177" s="71">
        <f>Y177</f>
        <v>133</v>
      </c>
      <c r="CB177" s="72">
        <f>AC177</f>
        <v>141</v>
      </c>
      <c r="CC177" s="71">
        <f>AG177</f>
        <v>178</v>
      </c>
      <c r="CD177" s="72">
        <f>AK177</f>
        <v>186</v>
      </c>
      <c r="CE177" s="71">
        <f>AO177</f>
        <v>231</v>
      </c>
      <c r="CF177" s="72">
        <f>AS177</f>
        <v>268</v>
      </c>
      <c r="CG177" s="71">
        <f>AW177</f>
        <v>301</v>
      </c>
      <c r="CH177" s="70">
        <f>G177</f>
        <v>58</v>
      </c>
      <c r="CI177" s="71" t="str">
        <f>K177</f>
        <v>-</v>
      </c>
      <c r="CJ177" s="72">
        <f>O177</f>
        <v>92</v>
      </c>
      <c r="CK177" s="72">
        <f>S177</f>
        <v>96</v>
      </c>
      <c r="CL177" s="72">
        <f>W177</f>
        <v>132</v>
      </c>
      <c r="CM177" s="72">
        <f>AA177</f>
        <v>140</v>
      </c>
      <c r="CN177" s="72">
        <f>AE177</f>
        <v>167</v>
      </c>
      <c r="CO177" s="72">
        <f>AI177</f>
        <v>180</v>
      </c>
      <c r="CP177" s="72">
        <f>AM177</f>
        <v>223</v>
      </c>
      <c r="CQ177" s="72">
        <f>AQ177</f>
        <v>260</v>
      </c>
      <c r="CR177" s="72">
        <f>AU177</f>
        <v>300</v>
      </c>
      <c r="CS177" s="72">
        <f>AY177</f>
        <v>308</v>
      </c>
      <c r="CT177" s="23" t="e">
        <f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ccr5_human_6MEO</v>
      </c>
      <c r="B178" s="3" t="s">
        <v>173</v>
      </c>
      <c r="C178" s="3" t="s">
        <v>1535</v>
      </c>
      <c r="D178" s="3" t="str">
        <f>IFERROR(MID(VLOOKUP($B178,Seqs!$A:$B,2,0),E178,1),"")</f>
        <v>K</v>
      </c>
      <c r="E178" s="3">
        <v>26</v>
      </c>
      <c r="F178" s="3" t="str">
        <f>IFERROR(MID(VLOOKUP($B178,Seqs!$A:$B,2,0),G178,1),"")</f>
        <v>R</v>
      </c>
      <c r="G178" s="3">
        <v>60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63</v>
      </c>
      <c r="N178" s="3" t="str">
        <f>IFERROR(MID(VLOOKUP($B178,Seqs!$A:$B,2,0),O178,1),"")</f>
        <v>A</v>
      </c>
      <c r="O178" s="3">
        <v>90</v>
      </c>
      <c r="P178" s="3" t="str">
        <f>IFERROR(MID(VLOOKUP($B178,Seqs!$A:$B,2,0),Q178,1),"")</f>
        <v>Q</v>
      </c>
      <c r="Q178" s="3">
        <v>93</v>
      </c>
      <c r="R178" s="3" t="str">
        <f>IFERROR(MID(VLOOKUP($B178,Seqs!$A:$B,2,0),S178,1),"")</f>
        <v>F</v>
      </c>
      <c r="S178" s="3">
        <v>96</v>
      </c>
      <c r="T178" s="3" t="str">
        <f>IFERROR(MID(VLOOKUP($B178,Seqs!$A:$B,2,0),U178,1),"")</f>
        <v>M</v>
      </c>
      <c r="U178" s="3">
        <v>100</v>
      </c>
      <c r="V178" s="3" t="str">
        <f>IFERROR(MID(VLOOKUP($B178,Seqs!$A:$B,2,0),W178,1),"")</f>
        <v>H</v>
      </c>
      <c r="W178" s="3">
        <v>132</v>
      </c>
      <c r="X178" s="3" t="str">
        <f>IFERROR(MID(VLOOKUP($B178,Seqs!$A:$B,2,0),Y178,1),"")</f>
        <v>A</v>
      </c>
      <c r="Y178" s="3">
        <v>133</v>
      </c>
      <c r="Z178" s="3" t="str">
        <f>IFERROR(MID(VLOOKUP($B178,Seqs!$A:$B,2,0),AA178,1),"")</f>
        <v>R</v>
      </c>
      <c r="AA178" s="3">
        <v>140</v>
      </c>
      <c r="AB178" s="3" t="str">
        <f>IFERROR(MID(VLOOKUP($B178,Seqs!$A:$B,2,0),AC178,1),"")</f>
        <v>T</v>
      </c>
      <c r="AC178" s="3">
        <v>141</v>
      </c>
      <c r="AD178" s="3" t="str">
        <f>IFERROR(MID(VLOOKUP($B178,Seqs!$A:$B,2,0),AE178,1),"")</f>
        <v>I</v>
      </c>
      <c r="AE178" s="3">
        <v>165</v>
      </c>
      <c r="AF178" s="3" t="str">
        <f>IFERROR(MID(VLOOKUP($B178,Seqs!$A:$B,2,0),AG178,1),"")</f>
        <v>C</v>
      </c>
      <c r="AG178" s="3">
        <v>178</v>
      </c>
      <c r="AH178" s="3" t="str">
        <f>IFERROR(MID(VLOOKUP($B178,Seqs!$A:$B,2,0),AI178,1),"")</f>
        <v>S</v>
      </c>
      <c r="AI178" s="3">
        <v>180</v>
      </c>
      <c r="AJ178" s="3" t="str">
        <f>IFERROR(MID(VLOOKUP($B178,Seqs!$A:$B,2,0),AK178,1),"")</f>
        <v>Q</v>
      </c>
      <c r="AK178" s="3">
        <v>186</v>
      </c>
      <c r="AL178" s="3" t="str">
        <f>IFERROR(MID(VLOOKUP($B178,Seqs!$A:$B,2,0),AM178,1),"")</f>
        <v>C</v>
      </c>
      <c r="AM178" s="3">
        <v>224</v>
      </c>
      <c r="AN178" s="3" t="str">
        <f>IFERROR(MID(VLOOKUP($B178,Seqs!$A:$B,2,0),AO178,1),"")</f>
        <v>K</v>
      </c>
      <c r="AO178" s="3">
        <v>228</v>
      </c>
      <c r="AP178" s="3" t="str">
        <f>IFERROR(MID(VLOOKUP($B178,Seqs!$A:$B,2,0),AQ178,1),"")</f>
        <v>F</v>
      </c>
      <c r="AQ178" s="3">
        <v>260</v>
      </c>
      <c r="AR178" s="3" t="str">
        <f>IFERROR(MID(VLOOKUP($B178,Seqs!$A:$B,2,0),AS178,1),"")</f>
        <v>N</v>
      </c>
      <c r="AS178" s="3">
        <v>268</v>
      </c>
      <c r="AT178" s="3" t="str">
        <f>IFERROR(MID(VLOOKUP($B178,Seqs!$A:$B,2,0),AU178,1),"")</f>
        <v>V</v>
      </c>
      <c r="AU178" s="3">
        <v>300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243</v>
      </c>
      <c r="BD178" s="2" t="s">
        <v>23</v>
      </c>
      <c r="BE178" s="3" t="s">
        <v>1368</v>
      </c>
      <c r="BF178" s="118">
        <v>3.9</v>
      </c>
      <c r="BG178" s="49" t="s">
        <v>1275</v>
      </c>
      <c r="BH178" s="49" t="s">
        <v>1275</v>
      </c>
      <c r="BI178" s="1"/>
      <c r="BJ178" s="70" t="s">
        <v>1281</v>
      </c>
      <c r="BK178" s="57" t="s">
        <v>1281</v>
      </c>
      <c r="BL178" s="57" t="s">
        <v>1281</v>
      </c>
      <c r="BM178" s="57" t="s">
        <v>1281</v>
      </c>
      <c r="BN178" s="57" t="s">
        <v>1281</v>
      </c>
      <c r="BO178" s="57" t="s">
        <v>1281</v>
      </c>
      <c r="BP178" s="57" t="s">
        <v>1281</v>
      </c>
      <c r="BQ178" s="57" t="s">
        <v>1281</v>
      </c>
      <c r="BR178" s="57" t="s">
        <v>1281</v>
      </c>
      <c r="BS178" s="57" t="s">
        <v>1281</v>
      </c>
      <c r="BT178" s="57" t="s">
        <v>1281</v>
      </c>
      <c r="BU178" s="57" t="s">
        <v>1281</v>
      </c>
      <c r="BV178" s="70">
        <f>E178</f>
        <v>26</v>
      </c>
      <c r="BW178" s="71" t="str">
        <f>I178</f>
        <v>-</v>
      </c>
      <c r="BX178" s="72">
        <f>M178</f>
        <v>63</v>
      </c>
      <c r="BY178" s="71">
        <f>Q178</f>
        <v>93</v>
      </c>
      <c r="BZ178" s="72">
        <f>U178</f>
        <v>100</v>
      </c>
      <c r="CA178" s="71">
        <f>Y178</f>
        <v>133</v>
      </c>
      <c r="CB178" s="72">
        <f>AC178</f>
        <v>141</v>
      </c>
      <c r="CC178" s="71">
        <f>AG178</f>
        <v>178</v>
      </c>
      <c r="CD178" s="72">
        <f>AK178</f>
        <v>186</v>
      </c>
      <c r="CE178" s="71">
        <f>AO178</f>
        <v>228</v>
      </c>
      <c r="CF178" s="72">
        <f>AS178</f>
        <v>268</v>
      </c>
      <c r="CG178" s="71" t="str">
        <f>AW178</f>
        <v>-</v>
      </c>
      <c r="CH178" s="70">
        <f>G178</f>
        <v>60</v>
      </c>
      <c r="CI178" s="71" t="str">
        <f>K178</f>
        <v>-</v>
      </c>
      <c r="CJ178" s="72">
        <f>O178</f>
        <v>90</v>
      </c>
      <c r="CK178" s="72">
        <f>S178</f>
        <v>96</v>
      </c>
      <c r="CL178" s="72">
        <f>W178</f>
        <v>132</v>
      </c>
      <c r="CM178" s="72">
        <f>AA178</f>
        <v>140</v>
      </c>
      <c r="CN178" s="72">
        <f>AE178</f>
        <v>165</v>
      </c>
      <c r="CO178" s="72">
        <f>AI178</f>
        <v>180</v>
      </c>
      <c r="CP178" s="72">
        <f>AM178</f>
        <v>224</v>
      </c>
      <c r="CQ178" s="72">
        <f>AQ178</f>
        <v>260</v>
      </c>
      <c r="CR178" s="72">
        <f>AU178</f>
        <v>300</v>
      </c>
      <c r="CS178" s="72" t="str">
        <f>AY178</f>
        <v>-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ccr5_human_6MET</v>
      </c>
      <c r="B179" s="3" t="s">
        <v>173</v>
      </c>
      <c r="C179" s="3" t="s">
        <v>1534</v>
      </c>
      <c r="D179" s="3" t="str">
        <f>IFERROR(MID(VLOOKUP($B179,Seqs!$A:$B,2,0),E179,1),"")</f>
        <v>K</v>
      </c>
      <c r="E179" s="3">
        <v>26</v>
      </c>
      <c r="F179" s="3" t="str">
        <f>IFERROR(MID(VLOOKUP($B179,Seqs!$A:$B,2,0),G179,1),"")</f>
        <v>R</v>
      </c>
      <c r="G179" s="3">
        <v>60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63</v>
      </c>
      <c r="N179" s="3" t="str">
        <f>IFERROR(MID(VLOOKUP($B179,Seqs!$A:$B,2,0),O179,1),"")</f>
        <v>A</v>
      </c>
      <c r="O179" s="3">
        <v>90</v>
      </c>
      <c r="P179" s="3" t="str">
        <f>IFERROR(MID(VLOOKUP($B179,Seqs!$A:$B,2,0),Q179,1),"")</f>
        <v>Q</v>
      </c>
      <c r="Q179" s="3">
        <v>93</v>
      </c>
      <c r="R179" s="3" t="str">
        <f>IFERROR(MID(VLOOKUP($B179,Seqs!$A:$B,2,0),S179,1),"")</f>
        <v>F</v>
      </c>
      <c r="S179" s="3">
        <v>96</v>
      </c>
      <c r="T179" s="3" t="str">
        <f>IFERROR(MID(VLOOKUP($B179,Seqs!$A:$B,2,0),U179,1),"")</f>
        <v>M</v>
      </c>
      <c r="U179" s="3">
        <v>100</v>
      </c>
      <c r="V179" s="3" t="str">
        <f>IFERROR(MID(VLOOKUP($B179,Seqs!$A:$B,2,0),W179,1),"")</f>
        <v>H</v>
      </c>
      <c r="W179" s="3">
        <v>132</v>
      </c>
      <c r="X179" s="3" t="str">
        <f>IFERROR(MID(VLOOKUP($B179,Seqs!$A:$B,2,0),Y179,1),"")</f>
        <v>A</v>
      </c>
      <c r="Y179" s="3">
        <v>133</v>
      </c>
      <c r="Z179" s="3" t="str">
        <f>IFERROR(MID(VLOOKUP($B179,Seqs!$A:$B,2,0),AA179,1),"")</f>
        <v>R</v>
      </c>
      <c r="AA179" s="3">
        <v>140</v>
      </c>
      <c r="AB179" s="3" t="str">
        <f>IFERROR(MID(VLOOKUP($B179,Seqs!$A:$B,2,0),AC179,1),"")</f>
        <v>T</v>
      </c>
      <c r="AC179" s="3">
        <v>141</v>
      </c>
      <c r="AD179" s="3" t="str">
        <f>IFERROR(MID(VLOOKUP($B179,Seqs!$A:$B,2,0),AE179,1),"")</f>
        <v>I</v>
      </c>
      <c r="AE179" s="3">
        <v>165</v>
      </c>
      <c r="AF179" s="3" t="str">
        <f>IFERROR(MID(VLOOKUP($B179,Seqs!$A:$B,2,0),AG179,1),"")</f>
        <v>C</v>
      </c>
      <c r="AG179" s="3">
        <v>178</v>
      </c>
      <c r="AH179" s="3" t="str">
        <f>IFERROR(MID(VLOOKUP($B179,Seqs!$A:$B,2,0),AI179,1),"")</f>
        <v>S</v>
      </c>
      <c r="AI179" s="3">
        <v>180</v>
      </c>
      <c r="AJ179" s="3" t="str">
        <f>IFERROR(MID(VLOOKUP($B179,Seqs!$A:$B,2,0),AK179,1),"")</f>
        <v>Q</v>
      </c>
      <c r="AK179" s="3">
        <v>186</v>
      </c>
      <c r="AL179" s="3" t="str">
        <f>IFERROR(MID(VLOOKUP($B179,Seqs!$A:$B,2,0),AM179,1),"")</f>
        <v>C</v>
      </c>
      <c r="AM179" s="3">
        <v>224</v>
      </c>
      <c r="AN179" s="3" t="str">
        <f>IFERROR(MID(VLOOKUP($B179,Seqs!$A:$B,2,0),AO179,1),"")</f>
        <v>K</v>
      </c>
      <c r="AO179" s="3">
        <v>228</v>
      </c>
      <c r="AP179" s="3" t="str">
        <f>IFERROR(MID(VLOOKUP($B179,Seqs!$A:$B,2,0),AQ179,1),"")</f>
        <v>F</v>
      </c>
      <c r="AQ179" s="3">
        <v>260</v>
      </c>
      <c r="AR179" s="3" t="str">
        <f>IFERROR(MID(VLOOKUP($B179,Seqs!$A:$B,2,0),AS179,1),"")</f>
        <v>N</v>
      </c>
      <c r="AS179" s="3">
        <v>268</v>
      </c>
      <c r="AT179" s="3" t="str">
        <f>IFERROR(MID(VLOOKUP($B179,Seqs!$A:$B,2,0),AU179,1),"")</f>
        <v>V</v>
      </c>
      <c r="AU179" s="3">
        <v>300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Chemokine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243</v>
      </c>
      <c r="BD179" s="2" t="s">
        <v>23</v>
      </c>
      <c r="BE179" s="3" t="s">
        <v>1368</v>
      </c>
      <c r="BF179" s="118">
        <v>4.5</v>
      </c>
      <c r="BG179" s="49" t="s">
        <v>1275</v>
      </c>
      <c r="BH179" s="49" t="s">
        <v>1275</v>
      </c>
      <c r="BI179" s="1"/>
      <c r="BJ179" s="70" t="s">
        <v>1281</v>
      </c>
      <c r="BK179" s="57" t="s">
        <v>1281</v>
      </c>
      <c r="BL179" s="57" t="s">
        <v>1281</v>
      </c>
      <c r="BM179" s="57" t="s">
        <v>1281</v>
      </c>
      <c r="BN179" s="57" t="s">
        <v>1281</v>
      </c>
      <c r="BO179" s="57" t="s">
        <v>1281</v>
      </c>
      <c r="BP179" s="57" t="s">
        <v>1281</v>
      </c>
      <c r="BQ179" s="57" t="s">
        <v>1281</v>
      </c>
      <c r="BR179" s="57" t="s">
        <v>1281</v>
      </c>
      <c r="BS179" s="57" t="s">
        <v>1281</v>
      </c>
      <c r="BT179" s="57" t="s">
        <v>1281</v>
      </c>
      <c r="BU179" s="57" t="s">
        <v>1281</v>
      </c>
      <c r="BV179" s="70">
        <f>E179</f>
        <v>26</v>
      </c>
      <c r="BW179" s="71" t="str">
        <f>I179</f>
        <v>-</v>
      </c>
      <c r="BX179" s="72">
        <f>M179</f>
        <v>63</v>
      </c>
      <c r="BY179" s="71">
        <f>Q179</f>
        <v>93</v>
      </c>
      <c r="BZ179" s="72">
        <f>U179</f>
        <v>100</v>
      </c>
      <c r="CA179" s="71">
        <f>Y179</f>
        <v>133</v>
      </c>
      <c r="CB179" s="72">
        <f>AC179</f>
        <v>141</v>
      </c>
      <c r="CC179" s="71">
        <f>AG179</f>
        <v>178</v>
      </c>
      <c r="CD179" s="72">
        <f>AK179</f>
        <v>186</v>
      </c>
      <c r="CE179" s="71">
        <f>AO179</f>
        <v>228</v>
      </c>
      <c r="CF179" s="72">
        <f>AS179</f>
        <v>268</v>
      </c>
      <c r="CG179" s="71" t="str">
        <f>AW179</f>
        <v>-</v>
      </c>
      <c r="CH179" s="70">
        <f>G179</f>
        <v>60</v>
      </c>
      <c r="CI179" s="71" t="str">
        <f>K179</f>
        <v>-</v>
      </c>
      <c r="CJ179" s="72">
        <f>O179</f>
        <v>90</v>
      </c>
      <c r="CK179" s="72">
        <f>S179</f>
        <v>96</v>
      </c>
      <c r="CL179" s="72">
        <f>W179</f>
        <v>132</v>
      </c>
      <c r="CM179" s="72">
        <f>AA179</f>
        <v>140</v>
      </c>
      <c r="CN179" s="72">
        <f>AE179</f>
        <v>165</v>
      </c>
      <c r="CO179" s="72">
        <f>AI179</f>
        <v>180</v>
      </c>
      <c r="CP179" s="72">
        <f>AM179</f>
        <v>224</v>
      </c>
      <c r="CQ179" s="72">
        <f>AQ179</f>
        <v>260</v>
      </c>
      <c r="CR179" s="72">
        <f>AU179</f>
        <v>300</v>
      </c>
      <c r="CS179" s="72" t="str">
        <f>AY179</f>
        <v>-</v>
      </c>
      <c r="CT179" s="23" t="e">
        <f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s="12" customFormat="1" x14ac:dyDescent="0.2">
      <c r="A180" s="9" t="str">
        <f t="shared" ref="A180:A181" si="1344">CONCATENATE(B180,"_",C180)</f>
        <v>ccr7_human__wt</v>
      </c>
      <c r="B180" s="9" t="s">
        <v>175</v>
      </c>
      <c r="C180" s="9" t="s">
        <v>100</v>
      </c>
      <c r="D180" s="9" t="str">
        <f>IFERROR(MID(VLOOKUP($B180,Seqs!$A:$B,2,0),E180,1),"")</f>
        <v>N</v>
      </c>
      <c r="E180" s="9">
        <v>55</v>
      </c>
      <c r="F180" s="9" t="str">
        <f>IFERROR(MID(VLOOKUP($B180,Seqs!$A:$B,2,0),G180,1),"")</f>
        <v>F</v>
      </c>
      <c r="G180" s="9">
        <v>86</v>
      </c>
      <c r="H180" s="9" t="str">
        <f>IFERROR(MID(VLOOKUP($B180,Seqs!$A:$B,2,0),I180,1),"")</f>
        <v>K</v>
      </c>
      <c r="I180" s="109">
        <v>87</v>
      </c>
      <c r="J180" s="9" t="str">
        <f>IFERROR(MID(VLOOKUP($B180,Seqs!$A:$B,2,0),K180,1),"")</f>
        <v>K</v>
      </c>
      <c r="K180" s="109">
        <v>90</v>
      </c>
      <c r="L180" s="9" t="str">
        <f>IFERROR(MID(VLOOKUP($B180,Seqs!$A:$B,2,0),M180,1),"")</f>
        <v>T</v>
      </c>
      <c r="M180" s="9">
        <v>91</v>
      </c>
      <c r="N180" s="9" t="str">
        <f>IFERROR(MID(VLOOKUP($B180,Seqs!$A:$B,2,0),O180,1),"")</f>
        <v>K</v>
      </c>
      <c r="O180" s="9">
        <v>120</v>
      </c>
      <c r="P180" s="9" t="str">
        <f>IFERROR(MID(VLOOKUP($B180,Seqs!$A:$B,2,0),Q180,1),"")</f>
        <v>S</v>
      </c>
      <c r="Q180" s="9">
        <v>121</v>
      </c>
      <c r="R180" s="9" t="str">
        <f>IFERROR(MID(VLOOKUP($B180,Seqs!$A:$B,2,0),S180,1),"")</f>
        <v>F</v>
      </c>
      <c r="S180" s="9">
        <v>124</v>
      </c>
      <c r="T180" s="9" t="str">
        <f>IFERROR(MID(VLOOKUP($B180,Seqs!$A:$B,2,0),U180,1),"")</f>
        <v>G</v>
      </c>
      <c r="U180" s="9">
        <v>125</v>
      </c>
      <c r="V180" s="9" t="str">
        <f>IFERROR(MID(VLOOKUP($B180,Seqs!$A:$B,2,0),W180,1),"")</f>
        <v>Q</v>
      </c>
      <c r="W180" s="9">
        <v>160</v>
      </c>
      <c r="X180" s="9" t="str">
        <f>IFERROR(MID(VLOOKUP($B180,Seqs!$A:$B,2,0),Y180,1),"")</f>
        <v>A</v>
      </c>
      <c r="Y180" s="9">
        <v>161</v>
      </c>
      <c r="Z180" s="9" t="str">
        <f>IFERROR(MID(VLOOKUP($B180,Seqs!$A:$B,2,0),AA180,1),"")</f>
        <v>A</v>
      </c>
      <c r="AA180" s="9">
        <v>169</v>
      </c>
      <c r="AB180" s="9" t="str">
        <f>IFERROR(MID(VLOOKUP($B180,Seqs!$A:$B,2,0),AC180,1),"")</f>
        <v>V</v>
      </c>
      <c r="AC180" s="9">
        <v>171</v>
      </c>
      <c r="AD180" s="9" t="str">
        <f>IFERROR(MID(VLOOKUP($B180,Seqs!$A:$B,2,0),AE180,1),"")</f>
        <v>S</v>
      </c>
      <c r="AE180" s="9">
        <v>197</v>
      </c>
      <c r="AF180" s="9" t="str">
        <f>IFERROR(MID(VLOOKUP($B180,Seqs!$A:$B,2,0),AG180,1),"")</f>
        <v>C</v>
      </c>
      <c r="AG180" s="9">
        <v>210</v>
      </c>
      <c r="AH180" s="9" t="str">
        <f>IFERROR(MID(VLOOKUP($B180,Seqs!$A:$B,2,0),AI180,1),"")</f>
        <v>L</v>
      </c>
      <c r="AI180" s="9">
        <v>212</v>
      </c>
      <c r="AJ180" s="9" t="str">
        <f>IFERROR(MID(VLOOKUP($B180,Seqs!$A:$B,2,0),AK180,1),"")</f>
        <v>E</v>
      </c>
      <c r="AK180" s="9">
        <v>218</v>
      </c>
      <c r="AL180" s="9" t="str">
        <f>IFERROR(MID(VLOOKUP($B180,Seqs!$A:$B,2,0),AM180,1),"")</f>
        <v>A</v>
      </c>
      <c r="AM180" s="9">
        <v>253</v>
      </c>
      <c r="AN180" s="9" t="str">
        <f>IFERROR(MID(VLOOKUP($B180,Seqs!$A:$B,2,0),AO180,1),"")</f>
        <v>R</v>
      </c>
      <c r="AO180" s="9">
        <v>258</v>
      </c>
      <c r="AP180" s="9" t="str">
        <f>IFERROR(MID(VLOOKUP($B180,Seqs!$A:$B,2,0),AQ180,1),"")</f>
        <v>I</v>
      </c>
      <c r="AQ180" s="9">
        <v>293</v>
      </c>
      <c r="AR180" s="9" t="str">
        <f>IFERROR(MID(VLOOKUP($B180,Seqs!$A:$B,2,0),AS180,1),"")</f>
        <v>T</v>
      </c>
      <c r="AS180" s="9">
        <v>297</v>
      </c>
      <c r="AT180" s="9" t="str">
        <f>IFERROR(MID(VLOOKUP($B180,Seqs!$A:$B,2,0),AU180,1),"")</f>
        <v>I</v>
      </c>
      <c r="AU180" s="9">
        <v>329</v>
      </c>
      <c r="AV180" s="9" t="str">
        <f>IFERROR(MID(VLOOKUP($B180,Seqs!$A:$B,2,0),AW180,1),"")</f>
        <v>G</v>
      </c>
      <c r="AW180" s="9">
        <v>330</v>
      </c>
      <c r="AX180" s="9" t="str">
        <f>IFERROR(MID(VLOOKUP($B180,Seqs!$A:$B,2,0),AY180,1),"")</f>
        <v>K</v>
      </c>
      <c r="AY180" s="9">
        <v>342</v>
      </c>
      <c r="AZ180" s="110" t="str">
        <f>VLOOKUP(B180,Classification!A:D,2,0)</f>
        <v>A</v>
      </c>
      <c r="BA180" s="98" t="str">
        <f>VLOOKUP(B180,Classification!A:D,4,0)</f>
        <v>Chemokine</v>
      </c>
      <c r="BB180" s="36" t="b">
        <f t="shared" ref="BB180:BB181" si="1345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:BC181" si="1346">_xlfn.AGGREGATE(9,6,CH180:CS180)-_xlfn.AGGREGATE(9,6,BV180:CG180)+12</f>
        <v>263</v>
      </c>
      <c r="BD180" s="40" t="s">
        <v>23</v>
      </c>
      <c r="BE180" s="9" t="s">
        <v>1368</v>
      </c>
      <c r="BF180" s="119">
        <v>5.5</v>
      </c>
      <c r="BG180" s="51" t="s">
        <v>1275</v>
      </c>
      <c r="BH180" s="51" t="s">
        <v>1275</v>
      </c>
      <c r="BJ180" s="111" t="s">
        <v>1281</v>
      </c>
      <c r="BK180" s="112" t="s">
        <v>1281</v>
      </c>
      <c r="BL180" s="112" t="s">
        <v>1281</v>
      </c>
      <c r="BM180" s="112" t="s">
        <v>1281</v>
      </c>
      <c r="BN180" s="112" t="s">
        <v>1281</v>
      </c>
      <c r="BO180" s="112" t="s">
        <v>1281</v>
      </c>
      <c r="BP180" s="112" t="s">
        <v>1281</v>
      </c>
      <c r="BQ180" s="112" t="s">
        <v>1281</v>
      </c>
      <c r="BR180" s="112" t="s">
        <v>1281</v>
      </c>
      <c r="BS180" s="112" t="s">
        <v>1281</v>
      </c>
      <c r="BT180" s="112" t="s">
        <v>1281</v>
      </c>
      <c r="BU180" s="112" t="s">
        <v>1281</v>
      </c>
      <c r="BV180" s="111">
        <f t="shared" ref="BV180:BV181" si="1347">E180</f>
        <v>55</v>
      </c>
      <c r="BW180" s="113">
        <f t="shared" ref="BW180:BW181" si="1348">I180</f>
        <v>87</v>
      </c>
      <c r="BX180" s="114">
        <f t="shared" ref="BX180:BX181" si="1349">M180</f>
        <v>91</v>
      </c>
      <c r="BY180" s="113">
        <f t="shared" ref="BY180:BY181" si="1350">Q180</f>
        <v>121</v>
      </c>
      <c r="BZ180" s="114">
        <f t="shared" ref="BZ180:BZ181" si="1351">U180</f>
        <v>125</v>
      </c>
      <c r="CA180" s="113">
        <f t="shared" ref="CA180:CA181" si="1352">Y180</f>
        <v>161</v>
      </c>
      <c r="CB180" s="114">
        <f t="shared" ref="CB180:CB181" si="1353">AC180</f>
        <v>171</v>
      </c>
      <c r="CC180" s="113">
        <f t="shared" ref="CC180:CC181" si="1354">AG180</f>
        <v>210</v>
      </c>
      <c r="CD180" s="114">
        <f t="shared" ref="CD180:CD181" si="1355">AK180</f>
        <v>218</v>
      </c>
      <c r="CE180" s="113">
        <f t="shared" ref="CE180:CE181" si="1356">AO180</f>
        <v>258</v>
      </c>
      <c r="CF180" s="114">
        <f t="shared" ref="CF180:CF181" si="1357">AS180</f>
        <v>297</v>
      </c>
      <c r="CG180" s="113">
        <f t="shared" ref="CG180:CG181" si="1358">AW180</f>
        <v>330</v>
      </c>
      <c r="CH180" s="111">
        <f t="shared" ref="CH180:CH181" si="1359">G180</f>
        <v>86</v>
      </c>
      <c r="CI180" s="113">
        <f t="shared" ref="CI180:CI181" si="1360">K180</f>
        <v>90</v>
      </c>
      <c r="CJ180" s="114">
        <f t="shared" ref="CJ180:CJ181" si="1361">O180</f>
        <v>120</v>
      </c>
      <c r="CK180" s="114">
        <f t="shared" ref="CK180:CK181" si="1362">S180</f>
        <v>124</v>
      </c>
      <c r="CL180" s="114">
        <f t="shared" ref="CL180:CL181" si="1363">W180</f>
        <v>160</v>
      </c>
      <c r="CM180" s="114">
        <f t="shared" ref="CM180:CM181" si="1364">AA180</f>
        <v>169</v>
      </c>
      <c r="CN180" s="114">
        <f t="shared" ref="CN180:CN181" si="1365">AE180</f>
        <v>197</v>
      </c>
      <c r="CO180" s="114">
        <f t="shared" ref="CO180:CO181" si="1366">AI180</f>
        <v>212</v>
      </c>
      <c r="CP180" s="114">
        <f t="shared" ref="CP180:CP181" si="1367">AM180</f>
        <v>253</v>
      </c>
      <c r="CQ180" s="114">
        <f t="shared" ref="CQ180:CQ181" si="1368">AQ180</f>
        <v>293</v>
      </c>
      <c r="CR180" s="114">
        <f t="shared" ref="CR180:CR181" si="1369">AU180</f>
        <v>329</v>
      </c>
      <c r="CS180" s="114">
        <f t="shared" ref="CS180:CS181" si="1370">AY180</f>
        <v>342</v>
      </c>
      <c r="CT180" s="109">
        <f t="shared" ref="CT180:CT181" si="1371">M180-K180</f>
        <v>1</v>
      </c>
    </row>
    <row r="181" spans="1:1029" s="12" customFormat="1" x14ac:dyDescent="0.2">
      <c r="A181" s="9" t="str">
        <f t="shared" si="1344"/>
        <v>ccr7_human_6QZH</v>
      </c>
      <c r="B181" s="9" t="s">
        <v>175</v>
      </c>
      <c r="C181" s="9" t="s">
        <v>1586</v>
      </c>
      <c r="D181" s="9" t="str">
        <f>IFERROR(MID(VLOOKUP($B181,Seqs!$A:$B,2,0),E181,1),"")</f>
        <v>F</v>
      </c>
      <c r="E181" s="9">
        <v>56</v>
      </c>
      <c r="F181" s="9" t="str">
        <f>IFERROR(MID(VLOOKUP($B181,Seqs!$A:$B,2,0),G181,1),"")</f>
        <v>Y</v>
      </c>
      <c r="G181" s="9">
        <v>85</v>
      </c>
      <c r="H181" s="9" t="str">
        <f>IFERROR(MID(VLOOKUP($B181,Seqs!$A:$B,2,0),I181,1),"")</f>
        <v>K</v>
      </c>
      <c r="I181" s="109">
        <v>87</v>
      </c>
      <c r="J181" s="9" t="str">
        <f>IFERROR(MID(VLOOKUP($B181,Seqs!$A:$B,2,0),K181,1),"")</f>
        <v>K</v>
      </c>
      <c r="K181" s="109">
        <v>90</v>
      </c>
      <c r="L181" s="9" t="str">
        <f>IFERROR(MID(VLOOKUP($B181,Seqs!$A:$B,2,0),M181,1),"")</f>
        <v>T</v>
      </c>
      <c r="M181" s="9">
        <v>91</v>
      </c>
      <c r="N181" s="9" t="str">
        <f>IFERROR(MID(VLOOKUP($B181,Seqs!$A:$B,2,0),O181,1),"")</f>
        <v>K</v>
      </c>
      <c r="O181" s="9">
        <v>120</v>
      </c>
      <c r="P181" s="9" t="str">
        <f>IFERROR(MID(VLOOKUP($B181,Seqs!$A:$B,2,0),Q181,1),"")</f>
        <v>S</v>
      </c>
      <c r="Q181" s="9">
        <v>121</v>
      </c>
      <c r="R181" s="9" t="str">
        <f>IFERROR(MID(VLOOKUP($B181,Seqs!$A:$B,2,0),S181,1),"")</f>
        <v>F</v>
      </c>
      <c r="S181" s="9">
        <v>124</v>
      </c>
      <c r="T181" s="9" t="str">
        <f>IFERROR(MID(VLOOKUP($B181,Seqs!$A:$B,2,0),U181,1),"")</f>
        <v>G</v>
      </c>
      <c r="U181" s="9">
        <v>125</v>
      </c>
      <c r="V181" s="9" t="str">
        <f>IFERROR(MID(VLOOKUP($B181,Seqs!$A:$B,2,0),W181,1),"")</f>
        <v>V</v>
      </c>
      <c r="W181" s="9">
        <v>159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167</v>
      </c>
      <c r="AD181" s="9" t="str">
        <f>IFERROR(MID(VLOOKUP($B181,Seqs!$A:$B,2,0),AE181,1),"")</f>
        <v>Y</v>
      </c>
      <c r="AE181" s="9">
        <v>196</v>
      </c>
      <c r="AF181" s="9" t="str">
        <f>IFERROR(MID(VLOOKUP($B181,Seqs!$A:$B,2,0),AG181,1),"")</f>
        <v>C</v>
      </c>
      <c r="AG181" s="9">
        <v>210</v>
      </c>
      <c r="AH181" s="9" t="str">
        <f>IFERROR(MID(VLOOKUP($B181,Seqs!$A:$B,2,0),AI181,1),"")</f>
        <v>L</v>
      </c>
      <c r="AI181" s="9">
        <v>212</v>
      </c>
      <c r="AJ181" s="9" t="str">
        <f>IFERROR(MID(VLOOKUP($B181,Seqs!$A:$B,2,0),AK181,1),"")</f>
        <v>F</v>
      </c>
      <c r="AK181" s="9">
        <v>220</v>
      </c>
      <c r="AL181" s="9" t="str">
        <f>IFERROR(MID(VLOOKUP($B181,Seqs!$A:$B,2,0),AM181,1),"")</f>
        <v>L</v>
      </c>
      <c r="AM181" s="9">
        <v>251</v>
      </c>
      <c r="AN181" s="9" t="str">
        <f>IFERROR(MID(VLOOKUP($B181,Seqs!$A:$B,2,0),AO181,1),"")</f>
        <v>K</v>
      </c>
      <c r="AO181" s="9">
        <v>263</v>
      </c>
      <c r="AP181" s="9" t="str">
        <f>IFERROR(MID(VLOOKUP($B181,Seqs!$A:$B,2,0),AQ181,1),"")</f>
        <v>Q</v>
      </c>
      <c r="AQ181" s="9">
        <v>286</v>
      </c>
      <c r="AR181" s="9" t="str">
        <f>IFERROR(MID(VLOOKUP($B181,Seqs!$A:$B,2,0),AS181,1),"")</f>
        <v>C</v>
      </c>
      <c r="AS181" s="9">
        <v>298</v>
      </c>
      <c r="AT181" s="9" t="str">
        <f>IFERROR(MID(VLOOKUP($B181,Seqs!$A:$B,2,0),AU181,1),"")</f>
        <v>F</v>
      </c>
      <c r="AU181" s="9">
        <v>328</v>
      </c>
      <c r="AV181" s="9" t="str">
        <f>IFERROR(MID(VLOOKUP($B181,Seqs!$A:$B,2,0),AW181,1),"")</f>
        <v>K</v>
      </c>
      <c r="AW181" s="9">
        <v>332</v>
      </c>
      <c r="AX181" s="9" t="str">
        <f>IFERROR(MID(VLOOKUP($B181,Seqs!$A:$B,2,0),AY181,1),"")</f>
        <v>F</v>
      </c>
      <c r="AY181" s="9">
        <v>341</v>
      </c>
      <c r="AZ181" s="110" t="str">
        <f>VLOOKUP(B181,Classification!A:D,2,0)</f>
        <v>A</v>
      </c>
      <c r="BA181" s="98" t="str">
        <f>VLOOKUP(B181,Classification!A:D,4,0)</f>
        <v>Chemokine</v>
      </c>
      <c r="BB181" s="36" t="b">
        <f t="shared" si="1345"/>
        <v>1</v>
      </c>
      <c r="BC181" s="109">
        <f t="shared" si="1346"/>
        <v>234</v>
      </c>
      <c r="BD181" s="40" t="s">
        <v>1370</v>
      </c>
      <c r="BE181" s="9" t="s">
        <v>1368</v>
      </c>
      <c r="BF181" s="119">
        <v>2.1</v>
      </c>
      <c r="BG181" s="51" t="s">
        <v>1</v>
      </c>
      <c r="BH181" s="51" t="s">
        <v>1</v>
      </c>
      <c r="BJ181" s="111" t="s">
        <v>1281</v>
      </c>
      <c r="BK181" s="112" t="s">
        <v>1281</v>
      </c>
      <c r="BL181" s="112" t="s">
        <v>1281</v>
      </c>
      <c r="BM181" s="112" t="s">
        <v>1281</v>
      </c>
      <c r="BN181" s="112" t="s">
        <v>1281</v>
      </c>
      <c r="BO181" s="112" t="s">
        <v>1281</v>
      </c>
      <c r="BP181" s="112" t="s">
        <v>1281</v>
      </c>
      <c r="BQ181" s="112" t="s">
        <v>1281</v>
      </c>
      <c r="BR181" s="112" t="s">
        <v>1281</v>
      </c>
      <c r="BS181" s="112" t="s">
        <v>1281</v>
      </c>
      <c r="BT181" s="112" t="s">
        <v>1281</v>
      </c>
      <c r="BU181" s="112" t="s">
        <v>1281</v>
      </c>
      <c r="BV181" s="111">
        <f t="shared" si="1347"/>
        <v>56</v>
      </c>
      <c r="BW181" s="113">
        <f t="shared" si="1348"/>
        <v>87</v>
      </c>
      <c r="BX181" s="114">
        <f t="shared" si="1349"/>
        <v>91</v>
      </c>
      <c r="BY181" s="113">
        <f t="shared" si="1350"/>
        <v>121</v>
      </c>
      <c r="BZ181" s="114">
        <f t="shared" si="1351"/>
        <v>125</v>
      </c>
      <c r="CA181" s="113" t="str">
        <f t="shared" si="1352"/>
        <v>-</v>
      </c>
      <c r="CB181" s="114">
        <f t="shared" si="1353"/>
        <v>167</v>
      </c>
      <c r="CC181" s="113">
        <f t="shared" si="1354"/>
        <v>210</v>
      </c>
      <c r="CD181" s="114">
        <f t="shared" si="1355"/>
        <v>220</v>
      </c>
      <c r="CE181" s="113">
        <f t="shared" si="1356"/>
        <v>263</v>
      </c>
      <c r="CF181" s="114">
        <f t="shared" si="1357"/>
        <v>298</v>
      </c>
      <c r="CG181" s="113">
        <f t="shared" si="1358"/>
        <v>332</v>
      </c>
      <c r="CH181" s="111">
        <f t="shared" si="1359"/>
        <v>85</v>
      </c>
      <c r="CI181" s="113">
        <f t="shared" si="1360"/>
        <v>90</v>
      </c>
      <c r="CJ181" s="114">
        <f t="shared" si="1361"/>
        <v>120</v>
      </c>
      <c r="CK181" s="114">
        <f t="shared" si="1362"/>
        <v>124</v>
      </c>
      <c r="CL181" s="114">
        <f t="shared" si="1363"/>
        <v>159</v>
      </c>
      <c r="CM181" s="114" t="str">
        <f t="shared" si="1364"/>
        <v>-</v>
      </c>
      <c r="CN181" s="114">
        <f t="shared" si="1365"/>
        <v>196</v>
      </c>
      <c r="CO181" s="114">
        <f t="shared" si="1366"/>
        <v>212</v>
      </c>
      <c r="CP181" s="114">
        <f t="shared" si="1367"/>
        <v>251</v>
      </c>
      <c r="CQ181" s="114">
        <f t="shared" si="1368"/>
        <v>286</v>
      </c>
      <c r="CR181" s="114">
        <f t="shared" si="1369"/>
        <v>328</v>
      </c>
      <c r="CS181" s="114">
        <f t="shared" si="1370"/>
        <v>341</v>
      </c>
      <c r="CT181" s="109">
        <f t="shared" si="1371"/>
        <v>1</v>
      </c>
    </row>
    <row r="182" spans="1:1029" x14ac:dyDescent="0.2">
      <c r="A182" s="3" t="str">
        <f t="shared" si="1007"/>
        <v>ccr9_human__wt</v>
      </c>
      <c r="B182" s="3" t="s">
        <v>177</v>
      </c>
      <c r="C182" s="3" t="s">
        <v>100</v>
      </c>
      <c r="D182" s="3" t="str">
        <f>IFERROR(MID(VLOOKUP($B182,Seqs!$A:$B,2,0),E182,1),"")</f>
        <v>V</v>
      </c>
      <c r="E182" s="3">
        <v>43</v>
      </c>
      <c r="F182" s="3" t="str">
        <f>IFERROR(MID(VLOOKUP($B182,Seqs!$A:$B,2,0),G182,1),"")</f>
        <v>C</v>
      </c>
      <c r="G182" s="3">
        <v>76</v>
      </c>
      <c r="H182" s="3" t="str">
        <f>IFERROR(MID(VLOOKUP($B182,Seqs!$A:$B,2,0),I182,1),"")</f>
        <v>T</v>
      </c>
      <c r="I182" s="23">
        <v>77</v>
      </c>
      <c r="J182" s="3" t="str">
        <f>IFERROR(MID(VLOOKUP($B182,Seqs!$A:$B,2,0),K182,1),"")</f>
        <v>K</v>
      </c>
      <c r="K182" s="23">
        <v>80</v>
      </c>
      <c r="L182" s="3" t="str">
        <f>IFERROR(MID(VLOOKUP($B182,Seqs!$A:$B,2,0),M182,1),"")</f>
        <v>T</v>
      </c>
      <c r="M182" s="3">
        <v>81</v>
      </c>
      <c r="N182" s="3" t="str">
        <f>IFERROR(MID(VLOOKUP($B182,Seqs!$A:$B,2,0),O182,1),"")</f>
        <v>D</v>
      </c>
      <c r="O182" s="3">
        <v>110</v>
      </c>
      <c r="P182" s="3" t="str">
        <f>IFERROR(MID(VLOOKUP($B182,Seqs!$A:$B,2,0),Q182,1),"")</f>
        <v>Q</v>
      </c>
      <c r="Q182" s="3">
        <v>111</v>
      </c>
      <c r="R182" s="3" t="str">
        <f>IFERROR(MID(VLOOKUP($B182,Seqs!$A:$B,2,0),S182,1),"")</f>
        <v>F</v>
      </c>
      <c r="S182" s="3">
        <v>114</v>
      </c>
      <c r="T182" s="3" t="str">
        <f>IFERROR(MID(VLOOKUP($B182,Seqs!$A:$B,2,0),U182,1),"")</f>
        <v>Q</v>
      </c>
      <c r="U182" s="3">
        <v>115</v>
      </c>
      <c r="V182" s="3" t="str">
        <f>IFERROR(MID(VLOOKUP($B182,Seqs!$A:$B,2,0),W182,1),"")</f>
        <v>Q</v>
      </c>
      <c r="W182" s="3">
        <v>150</v>
      </c>
      <c r="X182" s="3" t="str">
        <f>IFERROR(MID(VLOOKUP($B182,Seqs!$A:$B,2,0),Y182,1),"")</f>
        <v>A</v>
      </c>
      <c r="Y182" s="3">
        <v>151</v>
      </c>
      <c r="Z182" s="3" t="str">
        <f>IFERROR(MID(VLOOKUP($B182,Seqs!$A:$B,2,0),AA182,1),"")</f>
        <v>W</v>
      </c>
      <c r="AA182" s="3">
        <v>157</v>
      </c>
      <c r="AB182" s="3" t="str">
        <f>IFERROR(MID(VLOOKUP($B182,Seqs!$A:$B,2,0),AC182,1),"")</f>
        <v>R</v>
      </c>
      <c r="AC182" s="9">
        <v>158</v>
      </c>
      <c r="AD182" s="3" t="str">
        <f>IFERROR(MID(VLOOKUP($B182,Seqs!$A:$B,2,0),AE182,1),"")</f>
        <v>S</v>
      </c>
      <c r="AE182" s="3">
        <v>187</v>
      </c>
      <c r="AF182" s="3" t="str">
        <f>IFERROR(MID(VLOOKUP($B182,Seqs!$A:$B,2,0),AG182,1),"")</f>
        <v>C</v>
      </c>
      <c r="AG182" s="3">
        <v>198</v>
      </c>
      <c r="AH182" s="3" t="str">
        <f>IFERROR(MID(VLOOKUP($B182,Seqs!$A:$B,2,0),AI182,1),"")</f>
        <v>M</v>
      </c>
      <c r="AI182" s="3">
        <v>200</v>
      </c>
      <c r="AJ182" s="3" t="str">
        <f>IFERROR(MID(VLOOKUP($B182,Seqs!$A:$B,2,0),AK182,1),"")</f>
        <v>K</v>
      </c>
      <c r="AK182" s="3">
        <v>209</v>
      </c>
      <c r="AL182" s="3" t="str">
        <f>IFERROR(MID(VLOOKUP($B182,Seqs!$A:$B,2,0),AM182,1),"")</f>
        <v>A</v>
      </c>
      <c r="AM182" s="3">
        <v>244</v>
      </c>
      <c r="AN182" s="3" t="str">
        <f>IFERROR(MID(VLOOKUP($B182,Seqs!$A:$B,2,0),AO182,1),"")</f>
        <v>S</v>
      </c>
      <c r="AO182" s="3">
        <v>247</v>
      </c>
      <c r="AP182" s="3" t="str">
        <f>IFERROR(MID(VLOOKUP($B182,Seqs!$A:$B,2,0),AQ182,1),"")</f>
        <v>M</v>
      </c>
      <c r="AQ182" s="3">
        <v>284</v>
      </c>
      <c r="AR182" s="3" t="str">
        <f>IFERROR(MID(VLOOKUP($B182,Seqs!$A:$B,2,0),AS182,1),"")</f>
        <v>N</v>
      </c>
      <c r="AS182" s="3">
        <v>288</v>
      </c>
      <c r="AT182" s="3" t="str">
        <f>IFERROR(MID(VLOOKUP($B182,Seqs!$A:$B,2,0),AU182,1),"")</f>
        <v>V</v>
      </c>
      <c r="AU182" s="3">
        <v>320</v>
      </c>
      <c r="AV182" s="3" t="str">
        <f>IFERROR(MID(VLOOKUP($B182,Seqs!$A:$B,2,0),AW182,1),"")</f>
        <v>G</v>
      </c>
      <c r="AW182" s="3">
        <v>321</v>
      </c>
      <c r="AX182" s="3" t="str">
        <f>IFERROR(MID(VLOOKUP($B182,Seqs!$A:$B,2,0),AY182,1),"")</f>
        <v>A</v>
      </c>
      <c r="AY182" s="3">
        <v>341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008"/>
        <v>1</v>
      </c>
      <c r="BC182" s="23">
        <f t="shared" si="785"/>
        <v>276</v>
      </c>
      <c r="BD182" s="56" t="s">
        <v>23</v>
      </c>
      <c r="BE182" s="3" t="s">
        <v>23</v>
      </c>
      <c r="BF182" s="118" t="s">
        <v>23</v>
      </c>
      <c r="BG182" s="49" t="s">
        <v>1366</v>
      </c>
      <c r="BH182" s="49" t="s">
        <v>1371</v>
      </c>
      <c r="BI182" s="1"/>
      <c r="BJ182" s="70" t="s">
        <v>1281</v>
      </c>
      <c r="BK182" s="57" t="s">
        <v>1281</v>
      </c>
      <c r="BL182" s="57" t="s">
        <v>1281</v>
      </c>
      <c r="BM182" s="57" t="s">
        <v>1281</v>
      </c>
      <c r="BN182" s="57" t="s">
        <v>1281</v>
      </c>
      <c r="BO182" s="57" t="s">
        <v>1281</v>
      </c>
      <c r="BP182" s="57" t="s">
        <v>1281</v>
      </c>
      <c r="BQ182" s="57" t="s">
        <v>1281</v>
      </c>
      <c r="BR182" s="57" t="s">
        <v>1281</v>
      </c>
      <c r="BS182" s="57" t="s">
        <v>1281</v>
      </c>
      <c r="BT182" s="57" t="s">
        <v>1281</v>
      </c>
      <c r="BU182" s="57" t="s">
        <v>1281</v>
      </c>
      <c r="BV182" s="70">
        <f t="shared" si="786"/>
        <v>43</v>
      </c>
      <c r="BW182" s="71">
        <f t="shared" si="787"/>
        <v>77</v>
      </c>
      <c r="BX182" s="72">
        <f t="shared" si="788"/>
        <v>81</v>
      </c>
      <c r="BY182" s="71">
        <f t="shared" si="789"/>
        <v>111</v>
      </c>
      <c r="BZ182" s="72">
        <f t="shared" si="790"/>
        <v>115</v>
      </c>
      <c r="CA182" s="71">
        <f t="shared" si="791"/>
        <v>151</v>
      </c>
      <c r="CB182" s="72">
        <f t="shared" si="792"/>
        <v>158</v>
      </c>
      <c r="CC182" s="71">
        <f t="shared" si="793"/>
        <v>198</v>
      </c>
      <c r="CD182" s="72">
        <f t="shared" si="794"/>
        <v>209</v>
      </c>
      <c r="CE182" s="71">
        <f t="shared" si="795"/>
        <v>247</v>
      </c>
      <c r="CF182" s="72">
        <f t="shared" si="796"/>
        <v>288</v>
      </c>
      <c r="CG182" s="71">
        <f t="shared" si="797"/>
        <v>321</v>
      </c>
      <c r="CH182" s="70">
        <f t="shared" si="798"/>
        <v>76</v>
      </c>
      <c r="CI182" s="71">
        <f t="shared" si="799"/>
        <v>80</v>
      </c>
      <c r="CJ182" s="72">
        <f t="shared" si="800"/>
        <v>110</v>
      </c>
      <c r="CK182" s="72">
        <f t="shared" si="801"/>
        <v>114</v>
      </c>
      <c r="CL182" s="72">
        <f t="shared" si="802"/>
        <v>150</v>
      </c>
      <c r="CM182" s="72">
        <f t="shared" si="803"/>
        <v>157</v>
      </c>
      <c r="CN182" s="72">
        <f t="shared" si="804"/>
        <v>187</v>
      </c>
      <c r="CO182" s="72">
        <f t="shared" si="805"/>
        <v>200</v>
      </c>
      <c r="CP182" s="72">
        <f t="shared" si="806"/>
        <v>244</v>
      </c>
      <c r="CQ182" s="72">
        <f t="shared" si="807"/>
        <v>284</v>
      </c>
      <c r="CR182" s="72">
        <f t="shared" si="808"/>
        <v>320</v>
      </c>
      <c r="CS182" s="72">
        <f t="shared" si="809"/>
        <v>341</v>
      </c>
      <c r="CT182" s="23">
        <f t="shared" si="81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1007"/>
        <v>ccr9_human_5LWE</v>
      </c>
      <c r="B183" s="3" t="s">
        <v>177</v>
      </c>
      <c r="C183" s="3" t="s">
        <v>1359</v>
      </c>
      <c r="D183" s="3" t="str">
        <f>IFERROR(MID(VLOOKUP($B183,Seqs!$A:$B,2,0),E183,1),"")</f>
        <v>V</v>
      </c>
      <c r="E183" s="3">
        <v>43</v>
      </c>
      <c r="F183" s="3" t="str">
        <f>IFERROR(MID(VLOOKUP($B183,Seqs!$A:$B,2,0),G183,1),"")</f>
        <v>C</v>
      </c>
      <c r="G183" s="3">
        <v>76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81</v>
      </c>
      <c r="N183" s="3" t="str">
        <f>IFERROR(MID(VLOOKUP($B183,Seqs!$A:$B,2,0),O183,1),"")</f>
        <v>A</v>
      </c>
      <c r="O183" s="3">
        <v>108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C</v>
      </c>
      <c r="U183" s="3">
        <v>119</v>
      </c>
      <c r="V183" s="3" t="str">
        <f>IFERROR(MID(VLOOKUP($B183,Seqs!$A:$B,2,0),W183,1),"")</f>
        <v>Q</v>
      </c>
      <c r="W183" s="3">
        <v>150</v>
      </c>
      <c r="X183" s="3" t="str">
        <f>IFERROR(MID(VLOOKUP($B183,Seqs!$A:$B,2,0),Y183,1),"")</f>
        <v>A</v>
      </c>
      <c r="Y183" s="3">
        <v>151</v>
      </c>
      <c r="Z183" s="3" t="str">
        <f>IFERROR(MID(VLOOKUP($B183,Seqs!$A:$B,2,0),AA183,1),"")</f>
        <v>W</v>
      </c>
      <c r="AA183" s="3">
        <v>157</v>
      </c>
      <c r="AB183" s="3" t="str">
        <f>IFERROR(MID(VLOOKUP($B183,Seqs!$A:$B,2,0),AC183,1),"")</f>
        <v>R</v>
      </c>
      <c r="AC183" s="9">
        <v>158</v>
      </c>
      <c r="AD183" s="3" t="str">
        <f>IFERROR(MID(VLOOKUP($B183,Seqs!$A:$B,2,0),AE183,1),"")</f>
        <v>I</v>
      </c>
      <c r="AE183" s="3">
        <v>184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/>
      </c>
      <c r="AK183" s="3" t="s">
        <v>23</v>
      </c>
      <c r="AL183" s="3" t="str">
        <f>IFERROR(MID(VLOOKUP($B183,Seqs!$A:$B,2,0),AM183,1),"")</f>
        <v/>
      </c>
      <c r="AM183" s="3" t="s">
        <v>23</v>
      </c>
      <c r="AN183" s="3" t="str">
        <f>IFERROR(MID(VLOOKUP($B183,Seqs!$A:$B,2,0),AO183,1),"")</f>
        <v>S</v>
      </c>
      <c r="AO183" s="3">
        <v>247</v>
      </c>
      <c r="AP183" s="3" t="str">
        <f>IFERROR(MID(VLOOKUP($B183,Seqs!$A:$B,2,0),AQ183,1),"")</f>
        <v>M</v>
      </c>
      <c r="AQ183" s="3">
        <v>284</v>
      </c>
      <c r="AR183" s="3" t="str">
        <f>IFERROR(MID(VLOOKUP($B183,Seqs!$A:$B,2,0),AS183,1),"")</f>
        <v>N</v>
      </c>
      <c r="AS183" s="3">
        <v>288</v>
      </c>
      <c r="AT183" s="3" t="str">
        <f>IFERROR(MID(VLOOKUP($B183,Seqs!$A:$B,2,0),AU183,1),"")</f>
        <v>V</v>
      </c>
      <c r="AU183" s="3">
        <v>320</v>
      </c>
      <c r="AV183" s="3" t="str">
        <f>IFERROR(MID(VLOOKUP($B183,Seqs!$A:$B,2,0),AW183,1),"")</f>
        <v>G</v>
      </c>
      <c r="AW183" s="3">
        <v>321</v>
      </c>
      <c r="AX183" s="3" t="str">
        <f>IFERROR(MID(VLOOKUP($B183,Seqs!$A:$B,2,0),AY183,1),"")</f>
        <v>A</v>
      </c>
      <c r="AY183" s="3">
        <v>341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008"/>
        <v>0</v>
      </c>
      <c r="BC183" s="23">
        <f t="shared" si="785"/>
        <v>224</v>
      </c>
      <c r="BD183" s="16" t="s">
        <v>1370</v>
      </c>
      <c r="BE183" s="3" t="s">
        <v>1368</v>
      </c>
      <c r="BF183" s="118">
        <v>2.8</v>
      </c>
      <c r="BG183" s="49" t="s">
        <v>1371</v>
      </c>
      <c r="BH183" s="49" t="s">
        <v>1371</v>
      </c>
      <c r="BI183" s="1"/>
      <c r="BJ183" s="70" t="s">
        <v>1281</v>
      </c>
      <c r="BK183" s="57" t="s">
        <v>1281</v>
      </c>
      <c r="BL183" s="57" t="s">
        <v>1281</v>
      </c>
      <c r="BM183" s="57" t="s">
        <v>1281</v>
      </c>
      <c r="BN183" s="57" t="s">
        <v>1281</v>
      </c>
      <c r="BO183" s="57" t="s">
        <v>1281</v>
      </c>
      <c r="BP183" s="57" t="s">
        <v>1281</v>
      </c>
      <c r="BQ183" s="57" t="s">
        <v>1281</v>
      </c>
      <c r="BR183" s="57" t="s">
        <v>1281</v>
      </c>
      <c r="BS183" s="57" t="s">
        <v>1281</v>
      </c>
      <c r="BT183" s="57" t="s">
        <v>1281</v>
      </c>
      <c r="BU183" s="57" t="s">
        <v>1281</v>
      </c>
      <c r="BV183" s="70">
        <f t="shared" si="786"/>
        <v>43</v>
      </c>
      <c r="BW183" s="71" t="str">
        <f t="shared" si="787"/>
        <v>-</v>
      </c>
      <c r="BX183" s="72">
        <f t="shared" si="788"/>
        <v>81</v>
      </c>
      <c r="BY183" s="71" t="str">
        <f t="shared" si="789"/>
        <v>-</v>
      </c>
      <c r="BZ183" s="72">
        <f t="shared" si="790"/>
        <v>119</v>
      </c>
      <c r="CA183" s="71">
        <f t="shared" si="791"/>
        <v>151</v>
      </c>
      <c r="CB183" s="72">
        <f t="shared" si="792"/>
        <v>158</v>
      </c>
      <c r="CC183" s="71" t="str">
        <f t="shared" si="793"/>
        <v>-</v>
      </c>
      <c r="CD183" s="72" t="str">
        <f t="shared" si="794"/>
        <v>-</v>
      </c>
      <c r="CE183" s="71">
        <f t="shared" si="795"/>
        <v>247</v>
      </c>
      <c r="CF183" s="72">
        <f t="shared" si="796"/>
        <v>288</v>
      </c>
      <c r="CG183" s="71">
        <f t="shared" si="797"/>
        <v>321</v>
      </c>
      <c r="CH183" s="70">
        <f t="shared" si="798"/>
        <v>76</v>
      </c>
      <c r="CI183" s="71" t="str">
        <f t="shared" si="799"/>
        <v>-</v>
      </c>
      <c r="CJ183" s="72">
        <f t="shared" si="800"/>
        <v>108</v>
      </c>
      <c r="CK183" s="72" t="str">
        <f t="shared" si="801"/>
        <v>-</v>
      </c>
      <c r="CL183" s="72">
        <f t="shared" si="802"/>
        <v>150</v>
      </c>
      <c r="CM183" s="72">
        <f t="shared" si="803"/>
        <v>157</v>
      </c>
      <c r="CN183" s="72">
        <f t="shared" si="804"/>
        <v>184</v>
      </c>
      <c r="CO183" s="72" t="str">
        <f t="shared" si="805"/>
        <v>-</v>
      </c>
      <c r="CP183" s="72" t="str">
        <f t="shared" si="806"/>
        <v>-</v>
      </c>
      <c r="CQ183" s="72">
        <f t="shared" si="807"/>
        <v>284</v>
      </c>
      <c r="CR183" s="72">
        <f t="shared" si="808"/>
        <v>320</v>
      </c>
      <c r="CS183" s="72">
        <f t="shared" si="809"/>
        <v>341</v>
      </c>
      <c r="CT183" s="23" t="e">
        <f t="shared" si="810"/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ccr9_human_5LWE_dist</v>
      </c>
      <c r="B184" s="3" t="s">
        <v>177</v>
      </c>
      <c r="C184" s="3" t="s">
        <v>1378</v>
      </c>
      <c r="D184" s="3" t="str">
        <f>IFERROR(MID(VLOOKUP($B184,Seqs!$A:$B,2,0),E184,1),"")</f>
        <v>V</v>
      </c>
      <c r="E184" s="3">
        <v>43</v>
      </c>
      <c r="F184" s="3" t="str">
        <f>IFERROR(MID(VLOOKUP($B184,Seqs!$A:$B,2,0),G184,1),"")</f>
        <v>C</v>
      </c>
      <c r="G184" s="3">
        <v>76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81</v>
      </c>
      <c r="N184" s="3" t="str">
        <f>IFERROR(MID(VLOOKUP($B184,Seqs!$A:$B,2,0),O184,1),"")</f>
        <v>A</v>
      </c>
      <c r="O184" s="3">
        <v>108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C</v>
      </c>
      <c r="U184" s="3">
        <v>119</v>
      </c>
      <c r="V184" s="3" t="str">
        <f>IFERROR(MID(VLOOKUP($B184,Seqs!$A:$B,2,0),W184,1),"")</f>
        <v>Q</v>
      </c>
      <c r="W184" s="3">
        <v>150</v>
      </c>
      <c r="X184" s="3" t="str">
        <f>IFERROR(MID(VLOOKUP($B184,Seqs!$A:$B,2,0),Y184,1),"")</f>
        <v>A</v>
      </c>
      <c r="Y184" s="3">
        <v>151</v>
      </c>
      <c r="Z184" s="3" t="str">
        <f>IFERROR(MID(VLOOKUP($B184,Seqs!$A:$B,2,0),AA184,1),"")</f>
        <v>W</v>
      </c>
      <c r="AA184" s="3">
        <v>157</v>
      </c>
      <c r="AB184" s="3" t="str">
        <f>IFERROR(MID(VLOOKUP($B184,Seqs!$A:$B,2,0),AC184,1),"")</f>
        <v>R</v>
      </c>
      <c r="AC184" s="9">
        <v>158</v>
      </c>
      <c r="AD184" s="3" t="str">
        <f>IFERROR(MID(VLOOKUP($B184,Seqs!$A:$B,2,0),AE184,1),"")</f>
        <v>I</v>
      </c>
      <c r="AE184" s="3">
        <v>184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K</v>
      </c>
      <c r="AK184" s="3">
        <v>209</v>
      </c>
      <c r="AL184" s="3" t="str">
        <f>IFERROR(MID(VLOOKUP($B184,Seqs!$A:$B,2,0),AM184,1),"")</f>
        <v>A</v>
      </c>
      <c r="AM184" s="3">
        <v>244</v>
      </c>
      <c r="AN184" s="3" t="str">
        <f>IFERROR(MID(VLOOKUP($B184,Seqs!$A:$B,2,0),AO184,1),"")</f>
        <v>S</v>
      </c>
      <c r="AO184" s="3">
        <v>247</v>
      </c>
      <c r="AP184" s="3" t="str">
        <f>IFERROR(MID(VLOOKUP($B184,Seqs!$A:$B,2,0),AQ184,1),"")</f>
        <v>M</v>
      </c>
      <c r="AQ184" s="3">
        <v>284</v>
      </c>
      <c r="AR184" s="3" t="str">
        <f>IFERROR(MID(VLOOKUP($B184,Seqs!$A:$B,2,0),AS184,1),"")</f>
        <v>N</v>
      </c>
      <c r="AS184" s="3">
        <v>288</v>
      </c>
      <c r="AT184" s="3" t="str">
        <f>IFERROR(MID(VLOOKUP($B184,Seqs!$A:$B,2,0),AU184,1),"")</f>
        <v>V</v>
      </c>
      <c r="AU184" s="3">
        <v>320</v>
      </c>
      <c r="AV184" s="3" t="str">
        <f>IFERROR(MID(VLOOKUP($B184,Seqs!$A:$B,2,0),AW184,1),"")</f>
        <v>G</v>
      </c>
      <c r="AW184" s="3">
        <v>321</v>
      </c>
      <c r="AX184" s="3" t="str">
        <f>IFERROR(MID(VLOOKUP($B184,Seqs!$A:$B,2,0),AY184,1),"")</f>
        <v>A</v>
      </c>
      <c r="AY184" s="3">
        <v>341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259</v>
      </c>
      <c r="BD184" s="16" t="s">
        <v>23</v>
      </c>
      <c r="BE184" s="3" t="s">
        <v>1368</v>
      </c>
      <c r="BF184" s="118">
        <v>2.8</v>
      </c>
      <c r="BG184" s="49" t="s">
        <v>1371</v>
      </c>
      <c r="BH184" s="49" t="s">
        <v>1371</v>
      </c>
      <c r="BI184" s="1"/>
      <c r="BJ184" s="70" t="s">
        <v>1281</v>
      </c>
      <c r="BK184" s="57" t="s">
        <v>1281</v>
      </c>
      <c r="BL184" s="57" t="s">
        <v>1281</v>
      </c>
      <c r="BM184" s="57" t="s">
        <v>1281</v>
      </c>
      <c r="BN184" s="57" t="s">
        <v>1281</v>
      </c>
      <c r="BO184" s="57" t="s">
        <v>1281</v>
      </c>
      <c r="BP184" s="57" t="s">
        <v>1281</v>
      </c>
      <c r="BQ184" s="57" t="s">
        <v>1281</v>
      </c>
      <c r="BR184" s="57" t="s">
        <v>1281</v>
      </c>
      <c r="BS184" s="57" t="s">
        <v>1281</v>
      </c>
      <c r="BT184" s="57" t="s">
        <v>1281</v>
      </c>
      <c r="BU184" s="57" t="s">
        <v>1281</v>
      </c>
      <c r="BV184" s="70">
        <f>E184</f>
        <v>43</v>
      </c>
      <c r="BW184" s="71" t="str">
        <f>I184</f>
        <v>-</v>
      </c>
      <c r="BX184" s="72">
        <f>M184</f>
        <v>81</v>
      </c>
      <c r="BY184" s="71" t="str">
        <f>Q184</f>
        <v>-</v>
      </c>
      <c r="BZ184" s="72">
        <f>U184</f>
        <v>119</v>
      </c>
      <c r="CA184" s="71">
        <f>Y184</f>
        <v>151</v>
      </c>
      <c r="CB184" s="72">
        <f>AC184</f>
        <v>158</v>
      </c>
      <c r="CC184" s="71" t="str">
        <f>AG184</f>
        <v>-</v>
      </c>
      <c r="CD184" s="72">
        <f>AK184</f>
        <v>209</v>
      </c>
      <c r="CE184" s="71">
        <f>AO184</f>
        <v>247</v>
      </c>
      <c r="CF184" s="72">
        <f>AS184</f>
        <v>288</v>
      </c>
      <c r="CG184" s="71">
        <f>AW184</f>
        <v>321</v>
      </c>
      <c r="CH184" s="70">
        <f>G184</f>
        <v>76</v>
      </c>
      <c r="CI184" s="71" t="str">
        <f>K184</f>
        <v>-</v>
      </c>
      <c r="CJ184" s="72">
        <f>O184</f>
        <v>108</v>
      </c>
      <c r="CK184" s="72" t="str">
        <f>S184</f>
        <v>-</v>
      </c>
      <c r="CL184" s="72">
        <f>W184</f>
        <v>150</v>
      </c>
      <c r="CM184" s="72">
        <f>AA184</f>
        <v>157</v>
      </c>
      <c r="CN184" s="72">
        <f>AE184</f>
        <v>184</v>
      </c>
      <c r="CO184" s="72" t="str">
        <f>AI184</f>
        <v>-</v>
      </c>
      <c r="CP184" s="72">
        <f>AM184</f>
        <v>244</v>
      </c>
      <c r="CQ184" s="72">
        <f>AQ184</f>
        <v>284</v>
      </c>
      <c r="CR184" s="72">
        <f>AU184</f>
        <v>320</v>
      </c>
      <c r="CS184" s="72">
        <f>AY184</f>
        <v>341</v>
      </c>
      <c r="CT184" s="23" t="e">
        <f>M184-K184</f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 t="shared" si="1007"/>
        <v>cltr1_human__wt</v>
      </c>
      <c r="B185" s="9" t="s">
        <v>179</v>
      </c>
      <c r="C185" s="9" t="s">
        <v>100</v>
      </c>
      <c r="D185" s="9" t="str">
        <f>IFERROR(MID(VLOOKUP($B185,Seqs!$A:$B,2,0),E185,1),"")</f>
        <v>S</v>
      </c>
      <c r="E185" s="9">
        <v>11</v>
      </c>
      <c r="F185" s="9" t="str">
        <f>IFERROR(MID(VLOOKUP($B185,Seqs!$A:$B,2,0),G185,1),"")</f>
        <v>T</v>
      </c>
      <c r="G185" s="9">
        <v>51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S</v>
      </c>
      <c r="M185" s="9">
        <v>56</v>
      </c>
      <c r="N185" s="9" t="str">
        <f>IFERROR(MID(VLOOKUP($B185,Seqs!$A:$B,2,0),O185,1),"")</f>
        <v>K</v>
      </c>
      <c r="O185" s="9">
        <v>86</v>
      </c>
      <c r="P185" s="9" t="str">
        <f>IFERROR(MID(VLOOKUP($B185,Seqs!$A:$B,2,0),Q185,1),"")</f>
        <v>I</v>
      </c>
      <c r="Q185" s="9">
        <v>88</v>
      </c>
      <c r="R185" s="9" t="str">
        <f>IFERROR(MID(VLOOKUP($B185,Seqs!$A:$B,2,0),S185,1),"")</f>
        <v>F</v>
      </c>
      <c r="S185" s="9">
        <v>91</v>
      </c>
      <c r="T185" s="9" t="str">
        <f>IFERROR(MID(VLOOKUP($B185,Seqs!$A:$B,2,0),U185,1),"")</f>
        <v>G</v>
      </c>
      <c r="U185" s="9">
        <v>92</v>
      </c>
      <c r="V185" s="9" t="str">
        <f>IFERROR(MID(VLOOKUP($B185,Seqs!$A:$B,2,0),W185,1),"")</f>
        <v>F</v>
      </c>
      <c r="W185" s="9">
        <v>127</v>
      </c>
      <c r="X185" s="9" t="str">
        <f>IFERROR(MID(VLOOKUP($B185,Seqs!$A:$B,2,0),Y185,1),"")</f>
        <v>P</v>
      </c>
      <c r="Y185" s="9">
        <v>128</v>
      </c>
      <c r="Z185" s="9" t="str">
        <f>IFERROR(MID(VLOOKUP($B185,Seqs!$A:$B,2,0),AA185,1),"")</f>
        <v>V</v>
      </c>
      <c r="AA185" s="9">
        <v>135</v>
      </c>
      <c r="AB185" s="9" t="str">
        <f>IFERROR(MID(VLOOKUP($B185,Seqs!$A:$B,2,0),AC185,1),"")</f>
        <v>T</v>
      </c>
      <c r="AC185" s="9">
        <v>136</v>
      </c>
      <c r="AD185" s="9" t="str">
        <f>IFERROR(MID(VLOOKUP($B185,Seqs!$A:$B,2,0),AE185,1),"")</f>
        <v>A</v>
      </c>
      <c r="AE185" s="9">
        <v>161</v>
      </c>
      <c r="AF185" s="9" t="str">
        <f>IFERROR(MID(VLOOKUP($B185,Seqs!$A:$B,2,0),AG185,1),"")</f>
        <v>C</v>
      </c>
      <c r="AG185" s="9">
        <v>173</v>
      </c>
      <c r="AH185" s="9" t="str">
        <f>IFERROR(MID(VLOOKUP($B185,Seqs!$A:$B,2,0),AI185,1),"")</f>
        <v>E</v>
      </c>
      <c r="AI185" s="9">
        <v>175</v>
      </c>
      <c r="AJ185" s="9" t="str">
        <f>IFERROR(MID(VLOOKUP($B185,Seqs!$A:$B,2,0),AK185,1),"")</f>
        <v>D</v>
      </c>
      <c r="AK185" s="9">
        <v>179</v>
      </c>
      <c r="AL185" s="9" t="str">
        <f>IFERROR(MID(VLOOKUP($B185,Seqs!$A:$B,2,0),AM185,1),"")</f>
        <v>K</v>
      </c>
      <c r="AM185" s="9">
        <v>218</v>
      </c>
      <c r="AN185" s="9" t="str">
        <f>IFERROR(MID(VLOOKUP($B185,Seqs!$A:$B,2,0),AO185,1),"")</f>
        <v>N</v>
      </c>
      <c r="AO185" s="9">
        <v>224</v>
      </c>
      <c r="AP185" s="9" t="str">
        <f>IFERROR(MID(VLOOKUP($B185,Seqs!$A:$B,2,0),AQ185,1),"")</f>
        <v>N</v>
      </c>
      <c r="AQ185" s="9">
        <v>262</v>
      </c>
      <c r="AR185" s="9" t="str">
        <f>IFERROR(MID(VLOOKUP($B185,Seqs!$A:$B,2,0),AS185,1),"")</f>
        <v>P</v>
      </c>
      <c r="AS185" s="9">
        <v>266</v>
      </c>
      <c r="AT185" s="9" t="str">
        <f>IFERROR(MID(VLOOKUP($B185,Seqs!$A:$B,2,0),AU185,1),"")</f>
        <v>S</v>
      </c>
      <c r="AU185" s="9">
        <v>298</v>
      </c>
      <c r="AV185" s="9" t="str">
        <f>IFERROR(MID(VLOOKUP($B185,Seqs!$A:$B,2,0),AW185,1),"")</f>
        <v>G</v>
      </c>
      <c r="AW185" s="9">
        <v>299</v>
      </c>
      <c r="AX185" s="9" t="str">
        <f>IFERROR(MID(VLOOKUP($B185,Seqs!$A:$B,2,0),AY185,1),"")</f>
        <v>K</v>
      </c>
      <c r="AY185" s="9">
        <v>311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:BB186" si="137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:BC186" si="1373">_xlfn.AGGREGATE(9,6,CH185:CS185)-_xlfn.AGGREGATE(9,6,BV185:CG185)+12</f>
        <v>275</v>
      </c>
      <c r="BD185" s="126" t="s">
        <v>23</v>
      </c>
      <c r="BE185" s="9" t="s">
        <v>1368</v>
      </c>
      <c r="BF185" s="119">
        <v>3.8</v>
      </c>
      <c r="BG185" s="51" t="s">
        <v>1371</v>
      </c>
      <c r="BH185" s="51" t="s">
        <v>1371</v>
      </c>
      <c r="BJ185" s="111" t="s">
        <v>1281</v>
      </c>
      <c r="BK185" s="112" t="s">
        <v>1281</v>
      </c>
      <c r="BL185" s="112" t="s">
        <v>1281</v>
      </c>
      <c r="BM185" s="112" t="s">
        <v>1281</v>
      </c>
      <c r="BN185" s="112" t="s">
        <v>1281</v>
      </c>
      <c r="BO185" s="112" t="s">
        <v>1281</v>
      </c>
      <c r="BP185" s="112" t="s">
        <v>1281</v>
      </c>
      <c r="BQ185" s="112" t="s">
        <v>1281</v>
      </c>
      <c r="BR185" s="112" t="s">
        <v>1281</v>
      </c>
      <c r="BS185" s="112" t="s">
        <v>1281</v>
      </c>
      <c r="BT185" s="112" t="s">
        <v>1281</v>
      </c>
      <c r="BU185" s="112" t="s">
        <v>1281</v>
      </c>
      <c r="BV185" s="111">
        <f t="shared" ref="BV185:BV186" si="1374">E185</f>
        <v>11</v>
      </c>
      <c r="BW185" s="113" t="str">
        <f t="shared" ref="BW185:BW186" si="1375">I185</f>
        <v>-</v>
      </c>
      <c r="BX185" s="114">
        <f t="shared" ref="BX185:BX186" si="1376">M185</f>
        <v>56</v>
      </c>
      <c r="BY185" s="113">
        <f t="shared" ref="BY185:BY186" si="1377">Q185</f>
        <v>88</v>
      </c>
      <c r="BZ185" s="114">
        <f t="shared" ref="BZ185:BZ186" si="1378">U185</f>
        <v>92</v>
      </c>
      <c r="CA185" s="113">
        <f t="shared" ref="CA185:CA186" si="1379">Y185</f>
        <v>128</v>
      </c>
      <c r="CB185" s="114">
        <f t="shared" ref="CB185:CB186" si="1380">AC185</f>
        <v>136</v>
      </c>
      <c r="CC185" s="113">
        <f t="shared" ref="CC185:CC186" si="1381">AG185</f>
        <v>173</v>
      </c>
      <c r="CD185" s="114">
        <f t="shared" ref="CD185:CD186" si="1382">AK185</f>
        <v>179</v>
      </c>
      <c r="CE185" s="113">
        <f t="shared" ref="CE185:CE186" si="1383">AO185</f>
        <v>224</v>
      </c>
      <c r="CF185" s="114">
        <f t="shared" ref="CF185:CF186" si="1384">AS185</f>
        <v>266</v>
      </c>
      <c r="CG185" s="113">
        <f t="shared" ref="CG185:CG186" si="1385">AW185</f>
        <v>299</v>
      </c>
      <c r="CH185" s="111">
        <f t="shared" ref="CH185:CH186" si="1386">G185</f>
        <v>51</v>
      </c>
      <c r="CI185" s="113" t="str">
        <f t="shared" ref="CI185:CI186" si="1387">K185</f>
        <v>-</v>
      </c>
      <c r="CJ185" s="114">
        <f t="shared" ref="CJ185:CJ186" si="1388">O185</f>
        <v>86</v>
      </c>
      <c r="CK185" s="114">
        <f t="shared" ref="CK185:CK186" si="1389">S185</f>
        <v>91</v>
      </c>
      <c r="CL185" s="114">
        <f t="shared" ref="CL185:CL186" si="1390">W185</f>
        <v>127</v>
      </c>
      <c r="CM185" s="114">
        <f t="shared" ref="CM185:CM186" si="1391">AA185</f>
        <v>135</v>
      </c>
      <c r="CN185" s="114">
        <f t="shared" ref="CN185:CN186" si="1392">AE185</f>
        <v>161</v>
      </c>
      <c r="CO185" s="114">
        <f t="shared" ref="CO185:CO186" si="1393">AI185</f>
        <v>175</v>
      </c>
      <c r="CP185" s="114">
        <f t="shared" ref="CP185:CP186" si="1394">AM185</f>
        <v>218</v>
      </c>
      <c r="CQ185" s="114">
        <f t="shared" ref="CQ185:CQ186" si="1395">AQ185</f>
        <v>262</v>
      </c>
      <c r="CR185" s="114">
        <f t="shared" ref="CR185:CR186" si="1396">AU185</f>
        <v>298</v>
      </c>
      <c r="CS185" s="114">
        <f t="shared" ref="CS185:CS186" si="1397">AY185</f>
        <v>311</v>
      </c>
      <c r="CT185" s="109" t="e">
        <f t="shared" ref="CT185:CT186" si="1398">M185-K185</f>
        <v>#VALUE!</v>
      </c>
    </row>
    <row r="186" spans="1:1029" s="12" customFormat="1" x14ac:dyDescent="0.2">
      <c r="A186" s="9" t="str">
        <f t="shared" si="1007"/>
        <v>cltr1_human_6RZ4</v>
      </c>
      <c r="B186" s="9" t="s">
        <v>179</v>
      </c>
      <c r="C186" s="9" t="s">
        <v>1595</v>
      </c>
      <c r="D186" s="9" t="str">
        <f>IFERROR(MID(VLOOKUP($B186,Seqs!$A:$B,2,0),E186,1),"")</f>
        <v>S</v>
      </c>
      <c r="E186" s="9">
        <v>11</v>
      </c>
      <c r="F186" s="9" t="str">
        <f>IFERROR(MID(VLOOKUP($B186,Seqs!$A:$B,2,0),G186,1),"")</f>
        <v>T</v>
      </c>
      <c r="G186" s="9">
        <v>51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S</v>
      </c>
      <c r="M186" s="9">
        <v>56</v>
      </c>
      <c r="N186" s="9" t="str">
        <f>IFERROR(MID(VLOOKUP($B186,Seqs!$A:$B,2,0),O186,1),"")</f>
        <v>K</v>
      </c>
      <c r="O186" s="9">
        <v>86</v>
      </c>
      <c r="P186" s="9" t="str">
        <f>IFERROR(MID(VLOOKUP($B186,Seqs!$A:$B,2,0),Q186,1),"")</f>
        <v>I</v>
      </c>
      <c r="Q186" s="9">
        <v>88</v>
      </c>
      <c r="R186" s="9" t="str">
        <f>IFERROR(MID(VLOOKUP($B186,Seqs!$A:$B,2,0),S186,1),"")</f>
        <v>F</v>
      </c>
      <c r="S186" s="9">
        <v>91</v>
      </c>
      <c r="T186" s="9" t="str">
        <f>IFERROR(MID(VLOOKUP($B186,Seqs!$A:$B,2,0),U186,1),"")</f>
        <v>G</v>
      </c>
      <c r="U186" s="9">
        <v>92</v>
      </c>
      <c r="V186" s="9" t="str">
        <f>IFERROR(MID(VLOOKUP($B186,Seqs!$A:$B,2,0),W186,1),"")</f>
        <v>F</v>
      </c>
      <c r="W186" s="9">
        <v>127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I</v>
      </c>
      <c r="AC186" s="9">
        <v>132</v>
      </c>
      <c r="AD186" s="9" t="str">
        <f>IFERROR(MID(VLOOKUP($B186,Seqs!$A:$B,2,0),AE186,1),"")</f>
        <v>A</v>
      </c>
      <c r="AE186" s="9">
        <v>161</v>
      </c>
      <c r="AF186" s="9" t="str">
        <f>IFERROR(MID(VLOOKUP($B186,Seqs!$A:$B,2,0),AG186,1),"")</f>
        <v>C</v>
      </c>
      <c r="AG186" s="9">
        <v>173</v>
      </c>
      <c r="AH186" s="9" t="str">
        <f>IFERROR(MID(VLOOKUP($B186,Seqs!$A:$B,2,0),AI186,1),"")</f>
        <v>E</v>
      </c>
      <c r="AI186" s="9">
        <v>175</v>
      </c>
      <c r="AJ186" s="9" t="str">
        <f>IFERROR(MID(VLOOKUP($B186,Seqs!$A:$B,2,0),AK186,1),"")</f>
        <v>D</v>
      </c>
      <c r="AK186" s="9">
        <v>179</v>
      </c>
      <c r="AL186" s="9" t="str">
        <f>IFERROR(MID(VLOOKUP($B186,Seqs!$A:$B,2,0),AM186,1),"")</f>
        <v>K</v>
      </c>
      <c r="AM186" s="9">
        <v>222</v>
      </c>
      <c r="AN186" s="9" t="str">
        <f>IFERROR(MID(VLOOKUP($B186,Seqs!$A:$B,2,0),AO186,1),"")</f>
        <v>I</v>
      </c>
      <c r="AO186" s="9">
        <v>334</v>
      </c>
      <c r="AP186" s="9" t="str">
        <f>IFERROR(MID(VLOOKUP($B186,Seqs!$A:$B,2,0),AQ186,1),"")</f>
        <v/>
      </c>
      <c r="AQ186" s="9">
        <v>371</v>
      </c>
      <c r="AR186" s="9" t="str">
        <f>IFERROR(MID(VLOOKUP($B186,Seqs!$A:$B,2,0),AS186,1),"")</f>
        <v/>
      </c>
      <c r="AS186" s="9">
        <v>375</v>
      </c>
      <c r="AT186" s="9" t="str">
        <f>IFERROR(MID(VLOOKUP($B186,Seqs!$A:$B,2,0),AU186,1),"")</f>
        <v/>
      </c>
      <c r="AU186" s="9">
        <v>406</v>
      </c>
      <c r="AV186" s="9" t="str">
        <f>IFERROR(MID(VLOOKUP($B186,Seqs!$A:$B,2,0),AW186,1),"")</f>
        <v/>
      </c>
      <c r="AW186" s="9" t="s">
        <v>23</v>
      </c>
      <c r="AX186" s="9" t="str">
        <f>IFERROR(MID(VLOOKUP($B186,Seqs!$A:$B,2,0),AY186,1),"")</f>
        <v/>
      </c>
      <c r="AY186" s="9" t="s">
        <v>23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si="1372"/>
        <v>1</v>
      </c>
      <c r="BC186" s="109">
        <f t="shared" si="1373"/>
        <v>262</v>
      </c>
      <c r="BD186" s="126" t="s">
        <v>1423</v>
      </c>
      <c r="BE186" s="9" t="s">
        <v>1422</v>
      </c>
      <c r="BF186" s="119">
        <v>2.7</v>
      </c>
      <c r="BG186" s="51" t="s">
        <v>1</v>
      </c>
      <c r="BH186" s="51" t="s">
        <v>1</v>
      </c>
      <c r="BJ186" s="111" t="s">
        <v>1281</v>
      </c>
      <c r="BK186" s="112" t="s">
        <v>1281</v>
      </c>
      <c r="BL186" s="112" t="s">
        <v>1281</v>
      </c>
      <c r="BM186" s="112" t="s">
        <v>1281</v>
      </c>
      <c r="BN186" s="112" t="s">
        <v>1281</v>
      </c>
      <c r="BO186" s="112" t="s">
        <v>1281</v>
      </c>
      <c r="BP186" s="112" t="s">
        <v>1281</v>
      </c>
      <c r="BQ186" s="112" t="s">
        <v>1281</v>
      </c>
      <c r="BR186" s="112" t="s">
        <v>1281</v>
      </c>
      <c r="BS186" s="112" t="s">
        <v>1281</v>
      </c>
      <c r="BT186" s="112" t="s">
        <v>1281</v>
      </c>
      <c r="BU186" s="112" t="s">
        <v>1281</v>
      </c>
      <c r="BV186" s="111">
        <f t="shared" si="1374"/>
        <v>11</v>
      </c>
      <c r="BW186" s="113" t="str">
        <f t="shared" si="1375"/>
        <v>-</v>
      </c>
      <c r="BX186" s="114">
        <f t="shared" si="1376"/>
        <v>56</v>
      </c>
      <c r="BY186" s="113">
        <f t="shared" si="1377"/>
        <v>88</v>
      </c>
      <c r="BZ186" s="114">
        <f t="shared" si="1378"/>
        <v>92</v>
      </c>
      <c r="CA186" s="113" t="str">
        <f t="shared" si="1379"/>
        <v>-</v>
      </c>
      <c r="CB186" s="114">
        <f t="shared" si="1380"/>
        <v>132</v>
      </c>
      <c r="CC186" s="113">
        <f t="shared" si="1381"/>
        <v>173</v>
      </c>
      <c r="CD186" s="114">
        <f t="shared" si="1382"/>
        <v>179</v>
      </c>
      <c r="CE186" s="113">
        <f t="shared" si="1383"/>
        <v>334</v>
      </c>
      <c r="CF186" s="114">
        <f t="shared" si="1384"/>
        <v>375</v>
      </c>
      <c r="CG186" s="113" t="str">
        <f t="shared" si="1385"/>
        <v>-</v>
      </c>
      <c r="CH186" s="111">
        <f t="shared" si="1386"/>
        <v>51</v>
      </c>
      <c r="CI186" s="113" t="str">
        <f t="shared" si="1387"/>
        <v>-</v>
      </c>
      <c r="CJ186" s="114">
        <f t="shared" si="1388"/>
        <v>86</v>
      </c>
      <c r="CK186" s="114">
        <f t="shared" si="1389"/>
        <v>91</v>
      </c>
      <c r="CL186" s="114">
        <f t="shared" si="1390"/>
        <v>127</v>
      </c>
      <c r="CM186" s="114" t="str">
        <f t="shared" si="1391"/>
        <v>-</v>
      </c>
      <c r="CN186" s="114">
        <f t="shared" si="1392"/>
        <v>161</v>
      </c>
      <c r="CO186" s="114">
        <f t="shared" si="1393"/>
        <v>175</v>
      </c>
      <c r="CP186" s="114">
        <f t="shared" si="1394"/>
        <v>222</v>
      </c>
      <c r="CQ186" s="114">
        <f t="shared" si="1395"/>
        <v>371</v>
      </c>
      <c r="CR186" s="114">
        <f t="shared" si="1396"/>
        <v>406</v>
      </c>
      <c r="CS186" s="114" t="str">
        <f t="shared" si="1397"/>
        <v>-</v>
      </c>
      <c r="CT186" s="109" t="e">
        <f t="shared" si="1398"/>
        <v>#VALUE!</v>
      </c>
    </row>
    <row r="187" spans="1:1029" s="12" customFormat="1" x14ac:dyDescent="0.2">
      <c r="A187" s="9" t="str">
        <f t="shared" ref="A187" si="1399">CONCATENATE(B187,"_",C187)</f>
        <v>cltr1_human_6RZ5</v>
      </c>
      <c r="B187" s="9" t="s">
        <v>179</v>
      </c>
      <c r="C187" s="9" t="s">
        <v>1596</v>
      </c>
      <c r="D187" s="9" t="str">
        <f>IFERROR(MID(VLOOKUP($B187,Seqs!$A:$B,2,0),E187,1),"")</f>
        <v>I</v>
      </c>
      <c r="E187" s="9">
        <v>18</v>
      </c>
      <c r="F187" s="9" t="str">
        <f>IFERROR(MID(VLOOKUP($B187,Seqs!$A:$B,2,0),G187,1),"")</f>
        <v>T</v>
      </c>
      <c r="G187" s="9">
        <v>51</v>
      </c>
      <c r="H187" s="9" t="str">
        <f>IFERROR(MID(VLOOKUP($B187,Seqs!$A:$B,2,0),I187,1),"")</f>
        <v/>
      </c>
      <c r="I187" s="109" t="s">
        <v>23</v>
      </c>
      <c r="J187" s="9" t="str">
        <f>IFERROR(MID(VLOOKUP($B187,Seqs!$A:$B,2,0),K187,1),"")</f>
        <v/>
      </c>
      <c r="K187" s="109" t="s">
        <v>23</v>
      </c>
      <c r="L187" s="9" t="str">
        <f>IFERROR(MID(VLOOKUP($B187,Seqs!$A:$B,2,0),M187,1),"")</f>
        <v>S</v>
      </c>
      <c r="M187" s="9">
        <v>56</v>
      </c>
      <c r="N187" s="9" t="str">
        <f>IFERROR(MID(VLOOKUP($B187,Seqs!$A:$B,2,0),O187,1),"")</f>
        <v>K</v>
      </c>
      <c r="O187" s="9">
        <v>86</v>
      </c>
      <c r="P187" s="9" t="str">
        <f>IFERROR(MID(VLOOKUP($B187,Seqs!$A:$B,2,0),Q187,1),"")</f>
        <v>I</v>
      </c>
      <c r="Q187" s="9">
        <v>88</v>
      </c>
      <c r="R187" s="9" t="str">
        <f>IFERROR(MID(VLOOKUP($B187,Seqs!$A:$B,2,0),S187,1),"")</f>
        <v>F</v>
      </c>
      <c r="S187" s="9">
        <v>91</v>
      </c>
      <c r="T187" s="9" t="str">
        <f>IFERROR(MID(VLOOKUP($B187,Seqs!$A:$B,2,0),U187,1),"")</f>
        <v>G</v>
      </c>
      <c r="U187" s="9">
        <v>92</v>
      </c>
      <c r="V187" s="9" t="str">
        <f>IFERROR(MID(VLOOKUP($B187,Seqs!$A:$B,2,0),W187,1),"")</f>
        <v>F</v>
      </c>
      <c r="W187" s="9">
        <v>127</v>
      </c>
      <c r="X187" s="9" t="str">
        <f>IFERROR(MID(VLOOKUP($B187,Seqs!$A:$B,2,0),Y187,1),"")</f>
        <v>P</v>
      </c>
      <c r="Y187" s="9">
        <v>128</v>
      </c>
      <c r="Z187" s="9" t="str">
        <f>IFERROR(MID(VLOOKUP($B187,Seqs!$A:$B,2,0),AA187,1),"")</f>
        <v>V</v>
      </c>
      <c r="AA187" s="9">
        <v>135</v>
      </c>
      <c r="AB187" s="9" t="str">
        <f>IFERROR(MID(VLOOKUP($B187,Seqs!$A:$B,2,0),AC187,1),"")</f>
        <v>T</v>
      </c>
      <c r="AC187" s="9">
        <v>136</v>
      </c>
      <c r="AD187" s="9" t="str">
        <f>IFERROR(MID(VLOOKUP($B187,Seqs!$A:$B,2,0),AE187,1),"")</f>
        <v>M</v>
      </c>
      <c r="AE187" s="9">
        <v>160</v>
      </c>
      <c r="AF187" s="9" t="str">
        <f>IFERROR(MID(VLOOKUP($B187,Seqs!$A:$B,2,0),AG187,1),"")</f>
        <v>C</v>
      </c>
      <c r="AG187" s="9">
        <v>173</v>
      </c>
      <c r="AH187" s="9" t="str">
        <f>IFERROR(MID(VLOOKUP($B187,Seqs!$A:$B,2,0),AI187,1),"")</f>
        <v>E</v>
      </c>
      <c r="AI187" s="9">
        <v>175</v>
      </c>
      <c r="AJ187" s="9" t="str">
        <f>IFERROR(MID(VLOOKUP($B187,Seqs!$A:$B,2,0),AK187,1),"")</f>
        <v>K</v>
      </c>
      <c r="AK187" s="9">
        <v>183</v>
      </c>
      <c r="AL187" s="9" t="str">
        <f>IFERROR(MID(VLOOKUP($B187,Seqs!$A:$B,2,0),AM187,1),"")</f>
        <v>K</v>
      </c>
      <c r="AM187" s="9">
        <v>222</v>
      </c>
      <c r="AN187" s="9" t="str">
        <f>IFERROR(MID(VLOOKUP($B187,Seqs!$A:$B,2,0),AO187,1),"")</f>
        <v>C</v>
      </c>
      <c r="AO187" s="9">
        <v>335</v>
      </c>
      <c r="AP187" s="9" t="str">
        <f>IFERROR(MID(VLOOKUP($B187,Seqs!$A:$B,2,0),AQ187,1),"")</f>
        <v/>
      </c>
      <c r="AQ187" s="9">
        <v>371</v>
      </c>
      <c r="AR187" s="9" t="str">
        <f>IFERROR(MID(VLOOKUP($B187,Seqs!$A:$B,2,0),AS187,1),"")</f>
        <v/>
      </c>
      <c r="AS187" s="9">
        <v>375</v>
      </c>
      <c r="AT187" s="9" t="str">
        <f>IFERROR(MID(VLOOKUP($B187,Seqs!$A:$B,2,0),AU187,1),"")</f>
        <v/>
      </c>
      <c r="AU187" s="9">
        <v>407</v>
      </c>
      <c r="AV187" s="9" t="str">
        <f>IFERROR(MID(VLOOKUP($B187,Seqs!$A:$B,2,0),AW187,1),"")</f>
        <v/>
      </c>
      <c r="AW187" s="9" t="s">
        <v>23</v>
      </c>
      <c r="AX187" s="9" t="str">
        <f>IFERROR(MID(VLOOKUP($B187,Seqs!$A:$B,2,0),AY187,1),"")</f>
        <v/>
      </c>
      <c r="AY187" s="9" t="s">
        <v>23</v>
      </c>
      <c r="AZ187" s="110" t="str">
        <f>VLOOKUP(B187,Classification!A:D,2,0)</f>
        <v>A</v>
      </c>
      <c r="BA187" s="98" t="str">
        <f>VLOOKUP(B187,Classification!A:D,4,0)</f>
        <v>Leukotriene</v>
      </c>
      <c r="BB187" s="36" t="b">
        <f t="shared" ref="BB187" si="1400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 t="shared" ref="BC187" si="1401">_xlfn.AGGREGATE(9,6,CH187:CS187)-_xlfn.AGGREGATE(9,6,BV187:CG187)+12</f>
        <v>253</v>
      </c>
      <c r="BD187" s="126" t="s">
        <v>23</v>
      </c>
      <c r="BE187" s="9" t="s">
        <v>1422</v>
      </c>
      <c r="BF187" s="119">
        <v>2.5299999999999998</v>
      </c>
      <c r="BG187" s="51" t="s">
        <v>1275</v>
      </c>
      <c r="BH187" s="51" t="s">
        <v>1275</v>
      </c>
      <c r="BJ187" s="111" t="s">
        <v>1281</v>
      </c>
      <c r="BK187" s="112" t="s">
        <v>1281</v>
      </c>
      <c r="BL187" s="112" t="s">
        <v>1281</v>
      </c>
      <c r="BM187" s="112" t="s">
        <v>1281</v>
      </c>
      <c r="BN187" s="112" t="s">
        <v>1281</v>
      </c>
      <c r="BO187" s="112" t="s">
        <v>1281</v>
      </c>
      <c r="BP187" s="112" t="s">
        <v>1281</v>
      </c>
      <c r="BQ187" s="112" t="s">
        <v>1281</v>
      </c>
      <c r="BR187" s="112" t="s">
        <v>1281</v>
      </c>
      <c r="BS187" s="112" t="s">
        <v>1281</v>
      </c>
      <c r="BT187" s="112" t="s">
        <v>1281</v>
      </c>
      <c r="BU187" s="112" t="s">
        <v>1281</v>
      </c>
      <c r="BV187" s="111">
        <f t="shared" ref="BV187" si="1402">E187</f>
        <v>18</v>
      </c>
      <c r="BW187" s="113" t="str">
        <f t="shared" ref="BW187" si="1403">I187</f>
        <v>-</v>
      </c>
      <c r="BX187" s="114">
        <f t="shared" ref="BX187" si="1404">M187</f>
        <v>56</v>
      </c>
      <c r="BY187" s="113">
        <f t="shared" ref="BY187" si="1405">Q187</f>
        <v>88</v>
      </c>
      <c r="BZ187" s="114">
        <f t="shared" ref="BZ187" si="1406">U187</f>
        <v>92</v>
      </c>
      <c r="CA187" s="113">
        <f t="shared" ref="CA187" si="1407">Y187</f>
        <v>128</v>
      </c>
      <c r="CB187" s="114">
        <f t="shared" ref="CB187" si="1408">AC187</f>
        <v>136</v>
      </c>
      <c r="CC187" s="113">
        <f t="shared" ref="CC187" si="1409">AG187</f>
        <v>173</v>
      </c>
      <c r="CD187" s="114">
        <f t="shared" ref="CD187" si="1410">AK187</f>
        <v>183</v>
      </c>
      <c r="CE187" s="113">
        <f t="shared" ref="CE187" si="1411">AO187</f>
        <v>335</v>
      </c>
      <c r="CF187" s="114">
        <f t="shared" ref="CF187" si="1412">AS187</f>
        <v>375</v>
      </c>
      <c r="CG187" s="113" t="str">
        <f t="shared" ref="CG187" si="1413">AW187</f>
        <v>-</v>
      </c>
      <c r="CH187" s="111">
        <f t="shared" ref="CH187" si="1414">G187</f>
        <v>51</v>
      </c>
      <c r="CI187" s="113" t="str">
        <f t="shared" ref="CI187" si="1415">K187</f>
        <v>-</v>
      </c>
      <c r="CJ187" s="114">
        <f t="shared" ref="CJ187" si="1416">O187</f>
        <v>86</v>
      </c>
      <c r="CK187" s="114">
        <f t="shared" ref="CK187" si="1417">S187</f>
        <v>91</v>
      </c>
      <c r="CL187" s="114">
        <f t="shared" ref="CL187" si="1418">W187</f>
        <v>127</v>
      </c>
      <c r="CM187" s="114">
        <f t="shared" ref="CM187" si="1419">AA187</f>
        <v>135</v>
      </c>
      <c r="CN187" s="114">
        <f t="shared" ref="CN187" si="1420">AE187</f>
        <v>160</v>
      </c>
      <c r="CO187" s="114">
        <f t="shared" ref="CO187" si="1421">AI187</f>
        <v>175</v>
      </c>
      <c r="CP187" s="114">
        <f t="shared" ref="CP187" si="1422">AM187</f>
        <v>222</v>
      </c>
      <c r="CQ187" s="114">
        <f t="shared" ref="CQ187" si="1423">AQ187</f>
        <v>371</v>
      </c>
      <c r="CR187" s="114">
        <f t="shared" ref="CR187" si="1424">AU187</f>
        <v>407</v>
      </c>
      <c r="CS187" s="114" t="str">
        <f t="shared" ref="CS187" si="1425">AY187</f>
        <v>-</v>
      </c>
      <c r="CT187" s="109" t="e">
        <f t="shared" ref="CT187" si="1426">M187-K187</f>
        <v>#VALUE!</v>
      </c>
    </row>
    <row r="188" spans="1:1029" s="12" customFormat="1" x14ac:dyDescent="0.2">
      <c r="A188" s="9" t="str">
        <f t="shared" ref="A188:A189" si="1427">CONCATENATE(B188,"_",C188)</f>
        <v>cltr2_human__wt</v>
      </c>
      <c r="B188" s="9" t="s">
        <v>180</v>
      </c>
      <c r="C188" s="9" t="s">
        <v>100</v>
      </c>
      <c r="D188" s="9" t="str">
        <f>IFERROR(MID(VLOOKUP($B188,Seqs!$A:$B,2,0),E188,1),"")</f>
        <v>C</v>
      </c>
      <c r="E188" s="9">
        <v>31</v>
      </c>
      <c r="F188" s="9" t="str">
        <f>IFERROR(MID(VLOOKUP($B188,Seqs!$A:$B,2,0),G188,1),"")</f>
        <v>P</v>
      </c>
      <c r="G188" s="9">
        <v>66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T</v>
      </c>
      <c r="M188" s="9">
        <v>71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N</v>
      </c>
      <c r="Q188" s="9">
        <v>103</v>
      </c>
      <c r="R188" s="9" t="str">
        <f>IFERROR(MID(VLOOKUP($B188,Seqs!$A:$B,2,0),S188,1),"")</f>
        <v>F</v>
      </c>
      <c r="S188" s="9">
        <v>106</v>
      </c>
      <c r="T188" s="9" t="str">
        <f>IFERROR(MID(VLOOKUP($B188,Seqs!$A:$B,2,0),U188,1),"")</f>
        <v>G</v>
      </c>
      <c r="U188" s="9">
        <v>107</v>
      </c>
      <c r="V188" s="9" t="str">
        <f>IFERROR(MID(VLOOKUP($B188,Seqs!$A:$B,2,0),W188,1),"")</f>
        <v>H</v>
      </c>
      <c r="W188" s="9">
        <v>142</v>
      </c>
      <c r="X188" s="9" t="str">
        <f>IFERROR(MID(VLOOKUP($B188,Seqs!$A:$B,2,0),Y188,1),"")</f>
        <v>P</v>
      </c>
      <c r="Y188" s="9">
        <v>143</v>
      </c>
      <c r="Z188" s="9" t="str">
        <f>IFERROR(MID(VLOOKUP($B188,Seqs!$A:$B,2,0),AA188,1),"")</f>
        <v>T</v>
      </c>
      <c r="AA188" s="9">
        <v>150</v>
      </c>
      <c r="AB188" s="9" t="str">
        <f>IFERROR(MID(VLOOKUP($B188,Seqs!$A:$B,2,0),AC188,1),"")</f>
        <v>S</v>
      </c>
      <c r="AC188" s="9">
        <v>151</v>
      </c>
      <c r="AD188" s="9" t="str">
        <f>IFERROR(MID(VLOOKUP($B188,Seqs!$A:$B,2,0),AE188,1),"")</f>
        <v>S</v>
      </c>
      <c r="AE188" s="9">
        <v>176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E</v>
      </c>
      <c r="AI188" s="9">
        <v>189</v>
      </c>
      <c r="AJ188" s="9" t="str">
        <f>IFERROR(MID(VLOOKUP($B188,Seqs!$A:$B,2,0),AK188,1),"")</f>
        <v>I</v>
      </c>
      <c r="AK188" s="9">
        <v>195</v>
      </c>
      <c r="AL188" s="9" t="str">
        <f>IFERROR(MID(VLOOKUP($B188,Seqs!$A:$B,2,0),AM188,1),"")</f>
        <v>V</v>
      </c>
      <c r="AM188" s="9">
        <v>231</v>
      </c>
      <c r="AN188" s="9" t="str">
        <f>IFERROR(MID(VLOOKUP($B188,Seqs!$A:$B,2,0),AO188,1),"")</f>
        <v>S</v>
      </c>
      <c r="AO188" s="9">
        <v>236</v>
      </c>
      <c r="AP188" s="9" t="str">
        <f>IFERROR(MID(VLOOKUP($B188,Seqs!$A:$B,2,0),AQ188,1),"")</f>
        <v>W</v>
      </c>
      <c r="AQ188" s="9">
        <v>274</v>
      </c>
      <c r="AR188" s="9" t="str">
        <f>IFERROR(MID(VLOOKUP($B188,Seqs!$A:$B,2,0),AS188,1),"")</f>
        <v>K</v>
      </c>
      <c r="AS188" s="9">
        <v>280</v>
      </c>
      <c r="AT188" s="9" t="str">
        <f>IFERROR(MID(VLOOKUP($B188,Seqs!$A:$B,2,0),AU188,1),"")</f>
        <v>A</v>
      </c>
      <c r="AU188" s="9">
        <v>308</v>
      </c>
      <c r="AV188" s="9" t="str">
        <f>IFERROR(MID(VLOOKUP($B188,Seqs!$A:$B,2,0),AW188,1),"")</f>
        <v>G</v>
      </c>
      <c r="AW188" s="9">
        <v>309</v>
      </c>
      <c r="AX188" s="9" t="str">
        <f>IFERROR(MID(VLOOKUP($B188,Seqs!$A:$B,2,0),AY188,1),"")</f>
        <v>K</v>
      </c>
      <c r="AY188" s="9">
        <v>322</v>
      </c>
      <c r="AZ188" s="110" t="str">
        <f>VLOOKUP(B188,Classification!A:D,2,0)</f>
        <v>A</v>
      </c>
      <c r="BA188" s="98" t="str">
        <f>VLOOKUP(B188,Classification!A:D,4,0)</f>
        <v>Leukotriene</v>
      </c>
      <c r="BB188" s="36" t="b">
        <f t="shared" ref="BB188:BB189" si="1428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 t="shared" ref="BC188:BC189" si="1429">_xlfn.AGGREGATE(9,6,CH188:CS188)-_xlfn.AGGREGATE(9,6,BV188:CG188)+12</f>
        <v>264</v>
      </c>
      <c r="BD188" s="126" t="s">
        <v>23</v>
      </c>
      <c r="BE188" s="9" t="s">
        <v>23</v>
      </c>
      <c r="BF188" s="119" t="s">
        <v>23</v>
      </c>
      <c r="BG188" s="51" t="s">
        <v>23</v>
      </c>
      <c r="BH188" s="51" t="s">
        <v>23</v>
      </c>
      <c r="BJ188" s="111" t="s">
        <v>1281</v>
      </c>
      <c r="BK188" s="112" t="s">
        <v>1281</v>
      </c>
      <c r="BL188" s="112" t="s">
        <v>1281</v>
      </c>
      <c r="BM188" s="112" t="s">
        <v>1281</v>
      </c>
      <c r="BN188" s="112" t="s">
        <v>1281</v>
      </c>
      <c r="BO188" s="112" t="s">
        <v>1281</v>
      </c>
      <c r="BP188" s="112" t="s">
        <v>1281</v>
      </c>
      <c r="BQ188" s="112" t="s">
        <v>1281</v>
      </c>
      <c r="BR188" s="112" t="s">
        <v>1281</v>
      </c>
      <c r="BS188" s="112" t="s">
        <v>1281</v>
      </c>
      <c r="BT188" s="112" t="s">
        <v>1281</v>
      </c>
      <c r="BU188" s="112" t="s">
        <v>1281</v>
      </c>
      <c r="BV188" s="111">
        <f t="shared" ref="BV188:BV189" si="1430">E188</f>
        <v>31</v>
      </c>
      <c r="BW188" s="113" t="str">
        <f t="shared" ref="BW188:BW189" si="1431">I188</f>
        <v>-</v>
      </c>
      <c r="BX188" s="114">
        <f t="shared" ref="BX188:BX189" si="1432">M188</f>
        <v>71</v>
      </c>
      <c r="BY188" s="113">
        <f t="shared" ref="BY188:BY189" si="1433">Q188</f>
        <v>103</v>
      </c>
      <c r="BZ188" s="114">
        <f t="shared" ref="BZ188:BZ189" si="1434">U188</f>
        <v>107</v>
      </c>
      <c r="CA188" s="113">
        <f t="shared" ref="CA188:CA189" si="1435">Y188</f>
        <v>143</v>
      </c>
      <c r="CB188" s="114">
        <f t="shared" ref="CB188:CB189" si="1436">AC188</f>
        <v>151</v>
      </c>
      <c r="CC188" s="113">
        <f t="shared" ref="CC188:CC189" si="1437">AG188</f>
        <v>187</v>
      </c>
      <c r="CD188" s="114">
        <f t="shared" ref="CD188:CD189" si="1438">AK188</f>
        <v>195</v>
      </c>
      <c r="CE188" s="113">
        <f t="shared" ref="CE188:CE189" si="1439">AO188</f>
        <v>236</v>
      </c>
      <c r="CF188" s="114">
        <f t="shared" ref="CF188:CF189" si="1440">AS188</f>
        <v>280</v>
      </c>
      <c r="CG188" s="113">
        <f t="shared" ref="CG188:CG189" si="1441">AW188</f>
        <v>309</v>
      </c>
      <c r="CH188" s="111">
        <f t="shared" ref="CH188:CH189" si="1442">G188</f>
        <v>66</v>
      </c>
      <c r="CI188" s="113" t="str">
        <f t="shared" ref="CI188:CI189" si="1443">K188</f>
        <v>-</v>
      </c>
      <c r="CJ188" s="114">
        <f t="shared" ref="CJ188:CJ189" si="1444">O188</f>
        <v>101</v>
      </c>
      <c r="CK188" s="114">
        <f t="shared" ref="CK188:CK189" si="1445">S188</f>
        <v>106</v>
      </c>
      <c r="CL188" s="114">
        <f t="shared" ref="CL188:CL189" si="1446">W188</f>
        <v>142</v>
      </c>
      <c r="CM188" s="114">
        <f t="shared" ref="CM188:CM189" si="1447">AA188</f>
        <v>150</v>
      </c>
      <c r="CN188" s="114">
        <f t="shared" ref="CN188:CN189" si="1448">AE188</f>
        <v>176</v>
      </c>
      <c r="CO188" s="114">
        <f t="shared" ref="CO188:CO189" si="1449">AI188</f>
        <v>189</v>
      </c>
      <c r="CP188" s="114">
        <f t="shared" ref="CP188:CP189" si="1450">AM188</f>
        <v>231</v>
      </c>
      <c r="CQ188" s="114">
        <f t="shared" ref="CQ188:CQ189" si="1451">AQ188</f>
        <v>274</v>
      </c>
      <c r="CR188" s="114">
        <f t="shared" ref="CR188:CR189" si="1452">AU188</f>
        <v>308</v>
      </c>
      <c r="CS188" s="114">
        <f t="shared" ref="CS188:CS189" si="1453">AY188</f>
        <v>322</v>
      </c>
      <c r="CT188" s="109" t="e">
        <f t="shared" ref="CT188:CT189" si="1454">M188-K188</f>
        <v>#VALUE!</v>
      </c>
    </row>
    <row r="189" spans="1:1029" s="12" customFormat="1" x14ac:dyDescent="0.2">
      <c r="A189" s="9" t="str">
        <f t="shared" si="1427"/>
        <v>cltr2_human_6RZ6</v>
      </c>
      <c r="B189" s="9" t="s">
        <v>180</v>
      </c>
      <c r="C189" s="9" t="s">
        <v>1613</v>
      </c>
      <c r="D189" s="9" t="str">
        <f>IFERROR(MID(VLOOKUP($B189,Seqs!$A:$B,2,0),E189,1),"")</f>
        <v>C</v>
      </c>
      <c r="E189" s="9">
        <v>31</v>
      </c>
      <c r="F189" s="9" t="str">
        <f>IFERROR(MID(VLOOKUP($B189,Seqs!$A:$B,2,0),G189,1),"")</f>
        <v>Q</v>
      </c>
      <c r="G189" s="9">
        <v>65</v>
      </c>
      <c r="H189" s="9" t="str">
        <f>IFERROR(MID(VLOOKUP($B189,Seqs!$A:$B,2,0),I189,1),"")</f>
        <v/>
      </c>
      <c r="I189" s="109" t="s">
        <v>23</v>
      </c>
      <c r="J189" s="9" t="str">
        <f>IFERROR(MID(VLOOKUP($B189,Seqs!$A:$B,2,0),K189,1),"")</f>
        <v/>
      </c>
      <c r="K189" s="109" t="s">
        <v>23</v>
      </c>
      <c r="L189" s="9" t="str">
        <f>IFERROR(MID(VLOOKUP($B189,Seqs!$A:$B,2,0),M189,1),"")</f>
        <v>T</v>
      </c>
      <c r="M189" s="9">
        <v>71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N</v>
      </c>
      <c r="Q189" s="9">
        <v>103</v>
      </c>
      <c r="R189" s="9" t="str">
        <f>IFERROR(MID(VLOOKUP($B189,Seqs!$A:$B,2,0),S189,1),"")</f>
        <v>F</v>
      </c>
      <c r="S189" s="9">
        <v>106</v>
      </c>
      <c r="T189" s="9" t="str">
        <f>IFERROR(MID(VLOOKUP($B189,Seqs!$A:$B,2,0),U189,1),"")</f>
        <v>G</v>
      </c>
      <c r="U189" s="9">
        <v>107</v>
      </c>
      <c r="V189" s="9" t="str">
        <f>IFERROR(MID(VLOOKUP($B189,Seqs!$A:$B,2,0),W189,1),"")</f>
        <v>H</v>
      </c>
      <c r="W189" s="9">
        <v>142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V</v>
      </c>
      <c r="AC189" s="9">
        <v>149</v>
      </c>
      <c r="AD189" s="9" t="str">
        <f>IFERROR(MID(VLOOKUP($B189,Seqs!$A:$B,2,0),AE189,1),"")</f>
        <v>S</v>
      </c>
      <c r="AE189" s="9">
        <v>176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E</v>
      </c>
      <c r="AI189" s="9">
        <v>189</v>
      </c>
      <c r="AJ189" s="9" t="str">
        <f>IFERROR(MID(VLOOKUP($B189,Seqs!$A:$B,2,0),AK189,1),"")</f>
        <v>K</v>
      </c>
      <c r="AK189" s="9">
        <v>194</v>
      </c>
      <c r="AL189" s="9" t="str">
        <f>IFERROR(MID(VLOOKUP($B189,Seqs!$A:$B,2,0),AM189,1),"")</f>
        <v>E</v>
      </c>
      <c r="AM189" s="9">
        <v>232</v>
      </c>
      <c r="AN189" s="9" t="str">
        <f>IFERROR(MID(VLOOKUP($B189,Seqs!$A:$B,2,0),AO189,1),"")</f>
        <v>S</v>
      </c>
      <c r="AO189" s="9">
        <v>241</v>
      </c>
      <c r="AP189" s="9" t="str">
        <f>IFERROR(MID(VLOOKUP($B189,Seqs!$A:$B,2,0),AQ189,1),"")</f>
        <v>W</v>
      </c>
      <c r="AQ189" s="9">
        <v>274</v>
      </c>
      <c r="AR189" s="9" t="str">
        <f>IFERROR(MID(VLOOKUP($B189,Seqs!$A:$B,2,0),AS189,1),"")</f>
        <v>K</v>
      </c>
      <c r="AS189" s="9">
        <v>280</v>
      </c>
      <c r="AT189" s="9" t="str">
        <f>IFERROR(MID(VLOOKUP($B189,Seqs!$A:$B,2,0),AU189,1),"")</f>
        <v>A</v>
      </c>
      <c r="AU189" s="9">
        <v>308</v>
      </c>
      <c r="AV189" s="9" t="str">
        <f>IFERROR(MID(VLOOKUP($B189,Seqs!$A:$B,2,0),AW189,1),"")</f>
        <v>N</v>
      </c>
      <c r="AW189" s="9">
        <v>311</v>
      </c>
      <c r="AX189" s="9" t="str">
        <f>IFERROR(MID(VLOOKUP($B189,Seqs!$A:$B,2,0),AY189,1),"")</f>
        <v>K</v>
      </c>
      <c r="AY189" s="9">
        <v>322</v>
      </c>
      <c r="AZ189" s="110" t="str">
        <f>VLOOKUP(B189,Classification!A:D,2,0)</f>
        <v>A</v>
      </c>
      <c r="BA189" s="98" t="str">
        <f>VLOOKUP(B189,Classification!A:D,4,0)</f>
        <v>Leukotriene</v>
      </c>
      <c r="BB189" s="36" t="b">
        <f t="shared" si="1428"/>
        <v>1</v>
      </c>
      <c r="BC189" s="109">
        <f t="shared" si="1429"/>
        <v>253</v>
      </c>
      <c r="BD189" s="126" t="s">
        <v>23</v>
      </c>
      <c r="BE189" s="9" t="s">
        <v>1465</v>
      </c>
      <c r="BF189" s="119">
        <v>2.4300000000000002</v>
      </c>
      <c r="BG189" s="51" t="s">
        <v>1</v>
      </c>
      <c r="BH189" s="51" t="s">
        <v>1</v>
      </c>
      <c r="BJ189" s="111" t="s">
        <v>1281</v>
      </c>
      <c r="BK189" s="112" t="s">
        <v>1281</v>
      </c>
      <c r="BL189" s="112" t="s">
        <v>1281</v>
      </c>
      <c r="BM189" s="112" t="s">
        <v>1281</v>
      </c>
      <c r="BN189" s="112" t="s">
        <v>1281</v>
      </c>
      <c r="BO189" s="112" t="s">
        <v>1281</v>
      </c>
      <c r="BP189" s="112" t="s">
        <v>1281</v>
      </c>
      <c r="BQ189" s="112" t="s">
        <v>1281</v>
      </c>
      <c r="BR189" s="112" t="s">
        <v>1281</v>
      </c>
      <c r="BS189" s="112" t="s">
        <v>1281</v>
      </c>
      <c r="BT189" s="112" t="s">
        <v>1281</v>
      </c>
      <c r="BU189" s="112" t="s">
        <v>1281</v>
      </c>
      <c r="BV189" s="111">
        <f t="shared" si="1430"/>
        <v>31</v>
      </c>
      <c r="BW189" s="113" t="str">
        <f t="shared" si="1431"/>
        <v>-</v>
      </c>
      <c r="BX189" s="114">
        <f t="shared" si="1432"/>
        <v>71</v>
      </c>
      <c r="BY189" s="113">
        <f t="shared" si="1433"/>
        <v>103</v>
      </c>
      <c r="BZ189" s="114">
        <f t="shared" si="1434"/>
        <v>107</v>
      </c>
      <c r="CA189" s="113" t="str">
        <f t="shared" si="1435"/>
        <v>-</v>
      </c>
      <c r="CB189" s="114">
        <f t="shared" si="1436"/>
        <v>149</v>
      </c>
      <c r="CC189" s="113">
        <f t="shared" si="1437"/>
        <v>187</v>
      </c>
      <c r="CD189" s="114">
        <f t="shared" si="1438"/>
        <v>194</v>
      </c>
      <c r="CE189" s="113">
        <f t="shared" si="1439"/>
        <v>241</v>
      </c>
      <c r="CF189" s="114">
        <f t="shared" si="1440"/>
        <v>280</v>
      </c>
      <c r="CG189" s="113">
        <f t="shared" si="1441"/>
        <v>311</v>
      </c>
      <c r="CH189" s="111">
        <f t="shared" si="1442"/>
        <v>65</v>
      </c>
      <c r="CI189" s="113" t="str">
        <f t="shared" si="1443"/>
        <v>-</v>
      </c>
      <c r="CJ189" s="114">
        <f t="shared" si="1444"/>
        <v>101</v>
      </c>
      <c r="CK189" s="114">
        <f t="shared" si="1445"/>
        <v>106</v>
      </c>
      <c r="CL189" s="114">
        <f t="shared" si="1446"/>
        <v>142</v>
      </c>
      <c r="CM189" s="114" t="str">
        <f t="shared" si="1447"/>
        <v>-</v>
      </c>
      <c r="CN189" s="114">
        <f t="shared" si="1448"/>
        <v>176</v>
      </c>
      <c r="CO189" s="114">
        <f t="shared" si="1449"/>
        <v>189</v>
      </c>
      <c r="CP189" s="114">
        <f t="shared" si="1450"/>
        <v>232</v>
      </c>
      <c r="CQ189" s="114">
        <f t="shared" si="1451"/>
        <v>274</v>
      </c>
      <c r="CR189" s="114">
        <f t="shared" si="1452"/>
        <v>308</v>
      </c>
      <c r="CS189" s="114">
        <f t="shared" si="1453"/>
        <v>322</v>
      </c>
      <c r="CT189" s="109" t="e">
        <f t="shared" si="1454"/>
        <v>#VALUE!</v>
      </c>
    </row>
    <row r="190" spans="1:1029" s="12" customFormat="1" ht="17" customHeight="1" x14ac:dyDescent="0.2">
      <c r="A190" s="9" t="str">
        <f t="shared" ref="A190" si="1455">CONCATENATE(B190,"_",C190)</f>
        <v>cltr2_human_6RZ7</v>
      </c>
      <c r="B190" s="9" t="s">
        <v>180</v>
      </c>
      <c r="C190" s="9" t="s">
        <v>1614</v>
      </c>
      <c r="D190" s="9" t="str">
        <f>IFERROR(MID(VLOOKUP($B190,Seqs!$A:$B,2,0),E190,1),"")</f>
        <v>C</v>
      </c>
      <c r="E190" s="9">
        <v>31</v>
      </c>
      <c r="F190" s="9" t="str">
        <f>IFERROR(MID(VLOOKUP($B190,Seqs!$A:$B,2,0),G190,1),"")</f>
        <v>Q</v>
      </c>
      <c r="G190" s="9">
        <v>65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T</v>
      </c>
      <c r="M190" s="9">
        <v>71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N</v>
      </c>
      <c r="Q190" s="9">
        <v>103</v>
      </c>
      <c r="R190" s="9" t="str">
        <f>IFERROR(MID(VLOOKUP($B190,Seqs!$A:$B,2,0),S190,1),"")</f>
        <v>F</v>
      </c>
      <c r="S190" s="9">
        <v>106</v>
      </c>
      <c r="T190" s="9" t="str">
        <f>IFERROR(MID(VLOOKUP($B190,Seqs!$A:$B,2,0),U190,1),"")</f>
        <v>G</v>
      </c>
      <c r="U190" s="9">
        <v>107</v>
      </c>
      <c r="V190" s="9" t="str">
        <f>IFERROR(MID(VLOOKUP($B190,Seqs!$A:$B,2,0),W190,1),"")</f>
        <v>H</v>
      </c>
      <c r="W190" s="9">
        <v>142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S</v>
      </c>
      <c r="AC190" s="9">
        <v>151</v>
      </c>
      <c r="AD190" s="9" t="str">
        <f>IFERROR(MID(VLOOKUP($B190,Seqs!$A:$B,2,0),AE190,1),"")</f>
        <v>L</v>
      </c>
      <c r="AE190" s="9">
        <v>174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E</v>
      </c>
      <c r="AI190" s="9">
        <v>189</v>
      </c>
      <c r="AJ190" s="9" t="str">
        <f>IFERROR(MID(VLOOKUP($B190,Seqs!$A:$B,2,0),AK190,1),"")</f>
        <v>K</v>
      </c>
      <c r="AK190" s="9">
        <v>194</v>
      </c>
      <c r="AL190" s="9" t="str">
        <f>IFERROR(MID(VLOOKUP($B190,Seqs!$A:$B,2,0),AM190,1),"")</f>
        <v>E</v>
      </c>
      <c r="AM190" s="9">
        <v>232</v>
      </c>
      <c r="AN190" s="9" t="str">
        <f>IFERROR(MID(VLOOKUP($B190,Seqs!$A:$B,2,0),AO190,1),"")</f>
        <v>S</v>
      </c>
      <c r="AO190" s="9">
        <v>241</v>
      </c>
      <c r="AP190" s="9" t="str">
        <f>IFERROR(MID(VLOOKUP($B190,Seqs!$A:$B,2,0),AQ190,1),"")</f>
        <v>W</v>
      </c>
      <c r="AQ190" s="9">
        <v>274</v>
      </c>
      <c r="AR190" s="9" t="str">
        <f>IFERROR(MID(VLOOKUP($B190,Seqs!$A:$B,2,0),AS190,1),"")</f>
        <v>K</v>
      </c>
      <c r="AS190" s="9">
        <v>280</v>
      </c>
      <c r="AT190" s="9" t="str">
        <f>IFERROR(MID(VLOOKUP($B190,Seqs!$A:$B,2,0),AU190,1),"")</f>
        <v>G</v>
      </c>
      <c r="AU190" s="9">
        <v>309</v>
      </c>
      <c r="AV190" s="9" t="str">
        <f>IFERROR(MID(VLOOKUP($B190,Seqs!$A:$B,2,0),AW190,1),"")</f>
        <v>N</v>
      </c>
      <c r="AW190" s="9">
        <v>311</v>
      </c>
      <c r="AX190" s="9" t="str">
        <f>IFERROR(MID(VLOOKUP($B190,Seqs!$A:$B,2,0),AY190,1),"")</f>
        <v>R</v>
      </c>
      <c r="AY190" s="9">
        <v>321</v>
      </c>
      <c r="AZ190" s="110" t="str">
        <f>VLOOKUP(B190,Classification!A:D,2,0)</f>
        <v>A</v>
      </c>
      <c r="BA190" s="98" t="str">
        <f>VLOOKUP(B190,Classification!A:D,4,0)</f>
        <v>Leukotriene</v>
      </c>
      <c r="BB190" s="36" t="b">
        <f t="shared" ref="BB190" si="1456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 t="shared" ref="BC190" si="1457">_xlfn.AGGREGATE(9,6,CH190:CS190)-_xlfn.AGGREGATE(9,6,BV190:CG190)+12</f>
        <v>249</v>
      </c>
      <c r="BD190" s="126" t="s">
        <v>23</v>
      </c>
      <c r="BE190" s="9" t="s">
        <v>1465</v>
      </c>
      <c r="BF190" s="119">
        <v>2.4300000000000002</v>
      </c>
      <c r="BG190" s="51" t="s">
        <v>1</v>
      </c>
      <c r="BH190" s="51" t="s">
        <v>1</v>
      </c>
      <c r="BJ190" s="111" t="s">
        <v>1281</v>
      </c>
      <c r="BK190" s="112" t="s">
        <v>1281</v>
      </c>
      <c r="BL190" s="112" t="s">
        <v>1281</v>
      </c>
      <c r="BM190" s="112" t="s">
        <v>1281</v>
      </c>
      <c r="BN190" s="112" t="s">
        <v>1281</v>
      </c>
      <c r="BO190" s="112" t="s">
        <v>1281</v>
      </c>
      <c r="BP190" s="112" t="s">
        <v>1281</v>
      </c>
      <c r="BQ190" s="112" t="s">
        <v>1281</v>
      </c>
      <c r="BR190" s="112" t="s">
        <v>1281</v>
      </c>
      <c r="BS190" s="112" t="s">
        <v>1281</v>
      </c>
      <c r="BT190" s="112" t="s">
        <v>1281</v>
      </c>
      <c r="BU190" s="112" t="s">
        <v>1281</v>
      </c>
      <c r="BV190" s="111">
        <f t="shared" ref="BV190" si="1458">E190</f>
        <v>31</v>
      </c>
      <c r="BW190" s="113" t="str">
        <f t="shared" ref="BW190" si="1459">I190</f>
        <v>-</v>
      </c>
      <c r="BX190" s="114">
        <f t="shared" ref="BX190" si="1460">M190</f>
        <v>71</v>
      </c>
      <c r="BY190" s="113">
        <f t="shared" ref="BY190" si="1461">Q190</f>
        <v>103</v>
      </c>
      <c r="BZ190" s="114">
        <f t="shared" ref="BZ190" si="1462">U190</f>
        <v>107</v>
      </c>
      <c r="CA190" s="113" t="str">
        <f t="shared" ref="CA190" si="1463">Y190</f>
        <v>-</v>
      </c>
      <c r="CB190" s="114">
        <f t="shared" ref="CB190" si="1464">AC190</f>
        <v>151</v>
      </c>
      <c r="CC190" s="113">
        <f t="shared" ref="CC190" si="1465">AG190</f>
        <v>187</v>
      </c>
      <c r="CD190" s="114">
        <f t="shared" ref="CD190" si="1466">AK190</f>
        <v>194</v>
      </c>
      <c r="CE190" s="113">
        <f t="shared" ref="CE190" si="1467">AO190</f>
        <v>241</v>
      </c>
      <c r="CF190" s="114">
        <f t="shared" ref="CF190" si="1468">AS190</f>
        <v>280</v>
      </c>
      <c r="CG190" s="113">
        <f t="shared" ref="CG190" si="1469">AW190</f>
        <v>311</v>
      </c>
      <c r="CH190" s="111">
        <f t="shared" ref="CH190" si="1470">G190</f>
        <v>65</v>
      </c>
      <c r="CI190" s="113" t="str">
        <f t="shared" ref="CI190" si="1471">K190</f>
        <v>-</v>
      </c>
      <c r="CJ190" s="114">
        <f t="shared" ref="CJ190" si="1472">O190</f>
        <v>101</v>
      </c>
      <c r="CK190" s="114">
        <f t="shared" ref="CK190" si="1473">S190</f>
        <v>106</v>
      </c>
      <c r="CL190" s="114">
        <f t="shared" ref="CL190" si="1474">W190</f>
        <v>142</v>
      </c>
      <c r="CM190" s="114" t="str">
        <f t="shared" ref="CM190" si="1475">AA190</f>
        <v>-</v>
      </c>
      <c r="CN190" s="114">
        <f t="shared" ref="CN190" si="1476">AE190</f>
        <v>174</v>
      </c>
      <c r="CO190" s="114">
        <f t="shared" ref="CO190" si="1477">AI190</f>
        <v>189</v>
      </c>
      <c r="CP190" s="114">
        <f t="shared" ref="CP190" si="1478">AM190</f>
        <v>232</v>
      </c>
      <c r="CQ190" s="114">
        <f t="shared" ref="CQ190" si="1479">AQ190</f>
        <v>274</v>
      </c>
      <c r="CR190" s="114">
        <f t="shared" ref="CR190" si="1480">AU190</f>
        <v>309</v>
      </c>
      <c r="CS190" s="114">
        <f t="shared" ref="CS190" si="1481">AY190</f>
        <v>321</v>
      </c>
      <c r="CT190" s="109" t="e">
        <f t="shared" ref="CT190" si="1482">M190-K190</f>
        <v>#VALUE!</v>
      </c>
    </row>
    <row r="191" spans="1:1029" s="12" customFormat="1" x14ac:dyDescent="0.2">
      <c r="A191" s="9" t="str">
        <f t="shared" ref="A191" si="1483">CONCATENATE(B191,"_",C191)</f>
        <v>cltr2_human_6RZ8</v>
      </c>
      <c r="B191" s="9" t="s">
        <v>180</v>
      </c>
      <c r="C191" s="9" t="s">
        <v>1615</v>
      </c>
      <c r="D191" s="9" t="str">
        <f>IFERROR(MID(VLOOKUP($B191,Seqs!$A:$B,2,0),E191,1),"")</f>
        <v>T</v>
      </c>
      <c r="E191" s="9">
        <v>32</v>
      </c>
      <c r="F191" s="9" t="str">
        <f>IFERROR(MID(VLOOKUP($B191,Seqs!$A:$B,2,0),G191,1),"")</f>
        <v>Q</v>
      </c>
      <c r="G191" s="9">
        <v>65</v>
      </c>
      <c r="H191" s="9" t="str">
        <f>IFERROR(MID(VLOOKUP($B191,Seqs!$A:$B,2,0),I191,1),"")</f>
        <v/>
      </c>
      <c r="I191" s="109" t="s">
        <v>23</v>
      </c>
      <c r="J191" s="9" t="str">
        <f>IFERROR(MID(VLOOKUP($B191,Seqs!$A:$B,2,0),K191,1),"")</f>
        <v/>
      </c>
      <c r="K191" s="109" t="s">
        <v>23</v>
      </c>
      <c r="L191" s="9" t="str">
        <f>IFERROR(MID(VLOOKUP($B191,Seqs!$A:$B,2,0),M191,1),"")</f>
        <v>T</v>
      </c>
      <c r="M191" s="9">
        <v>71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N</v>
      </c>
      <c r="Q191" s="9">
        <v>103</v>
      </c>
      <c r="R191" s="9" t="str">
        <f>IFERROR(MID(VLOOKUP($B191,Seqs!$A:$B,2,0),S191,1),"")</f>
        <v>F</v>
      </c>
      <c r="S191" s="9">
        <v>106</v>
      </c>
      <c r="T191" s="9" t="str">
        <f>IFERROR(MID(VLOOKUP($B191,Seqs!$A:$B,2,0),U191,1),"")</f>
        <v>G</v>
      </c>
      <c r="U191" s="9">
        <v>107</v>
      </c>
      <c r="V191" s="9" t="str">
        <f>IFERROR(MID(VLOOKUP($B191,Seqs!$A:$B,2,0),W191,1),"")</f>
        <v>H</v>
      </c>
      <c r="W191" s="9">
        <v>142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151</v>
      </c>
      <c r="AD191" s="9" t="str">
        <f>IFERROR(MID(VLOOKUP($B191,Seqs!$A:$B,2,0),AE191,1),"")</f>
        <v>S</v>
      </c>
      <c r="AE191" s="9">
        <v>176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E</v>
      </c>
      <c r="AI191" s="9">
        <v>189</v>
      </c>
      <c r="AJ191" s="9" t="str">
        <f>IFERROR(MID(VLOOKUP($B191,Seqs!$A:$B,2,0),AK191,1),"")</f>
        <v>K</v>
      </c>
      <c r="AK191" s="9">
        <v>194</v>
      </c>
      <c r="AL191" s="9" t="str">
        <f>IFERROR(MID(VLOOKUP($B191,Seqs!$A:$B,2,0),AM191,1),"")</f>
        <v>E</v>
      </c>
      <c r="AM191" s="9">
        <v>232</v>
      </c>
      <c r="AN191" s="9" t="str">
        <f>IFERROR(MID(VLOOKUP($B191,Seqs!$A:$B,2,0),AO191,1),"")</f>
        <v>S</v>
      </c>
      <c r="AO191" s="9">
        <v>241</v>
      </c>
      <c r="AP191" s="9" t="str">
        <f>IFERROR(MID(VLOOKUP($B191,Seqs!$A:$B,2,0),AQ191,1),"")</f>
        <v>W</v>
      </c>
      <c r="AQ191" s="9">
        <v>274</v>
      </c>
      <c r="AR191" s="9" t="str">
        <f>IFERROR(MID(VLOOKUP($B191,Seqs!$A:$B,2,0),AS191,1),"")</f>
        <v>K</v>
      </c>
      <c r="AS191" s="9">
        <v>280</v>
      </c>
      <c r="AT191" s="9" t="str">
        <f>IFERROR(MID(VLOOKUP($B191,Seqs!$A:$B,2,0),AU191,1),"")</f>
        <v>E</v>
      </c>
      <c r="AU191" s="9">
        <v>310</v>
      </c>
      <c r="AV191" s="9" t="str">
        <f>IFERROR(MID(VLOOKUP($B191,Seqs!$A:$B,2,0),AW191,1),"")</f>
        <v/>
      </c>
      <c r="AW191" s="9" t="s">
        <v>23</v>
      </c>
      <c r="AX191" s="9" t="str">
        <f>IFERROR(MID(VLOOKUP($B191,Seqs!$A:$B,2,0),AY191,1),"")</f>
        <v/>
      </c>
      <c r="AY191" s="9" t="s">
        <v>23</v>
      </c>
      <c r="AZ191" s="110" t="str">
        <f>VLOOKUP(B191,Classification!A:D,2,0)</f>
        <v>A</v>
      </c>
      <c r="BA191" s="98" t="str">
        <f>VLOOKUP(B191,Classification!A:D,4,0)</f>
        <v>Leukotriene</v>
      </c>
      <c r="BB191" s="36" t="b">
        <f t="shared" ref="BB191" si="148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1485">_xlfn.AGGREGATE(9,6,CH191:CS191)-_xlfn.AGGREGATE(9,6,BV191:CG191)+12</f>
        <v>241</v>
      </c>
      <c r="BD191" s="126" t="s">
        <v>23</v>
      </c>
      <c r="BE191" s="9" t="s">
        <v>1465</v>
      </c>
      <c r="BF191" s="119">
        <v>2.7</v>
      </c>
      <c r="BG191" s="51" t="s">
        <v>1</v>
      </c>
      <c r="BH191" s="51" t="s">
        <v>1</v>
      </c>
      <c r="BJ191" s="111" t="s">
        <v>1281</v>
      </c>
      <c r="BK191" s="112" t="s">
        <v>1281</v>
      </c>
      <c r="BL191" s="112" t="s">
        <v>1281</v>
      </c>
      <c r="BM191" s="112" t="s">
        <v>1281</v>
      </c>
      <c r="BN191" s="112" t="s">
        <v>1281</v>
      </c>
      <c r="BO191" s="112" t="s">
        <v>1281</v>
      </c>
      <c r="BP191" s="112" t="s">
        <v>1281</v>
      </c>
      <c r="BQ191" s="112" t="s">
        <v>1281</v>
      </c>
      <c r="BR191" s="112" t="s">
        <v>1281</v>
      </c>
      <c r="BS191" s="112" t="s">
        <v>1281</v>
      </c>
      <c r="BT191" s="112" t="s">
        <v>1281</v>
      </c>
      <c r="BU191" s="112" t="s">
        <v>1281</v>
      </c>
      <c r="BV191" s="111">
        <f t="shared" ref="BV191" si="1486">E191</f>
        <v>32</v>
      </c>
      <c r="BW191" s="113" t="str">
        <f t="shared" ref="BW191" si="1487">I191</f>
        <v>-</v>
      </c>
      <c r="BX191" s="114">
        <f t="shared" ref="BX191" si="1488">M191</f>
        <v>71</v>
      </c>
      <c r="BY191" s="113">
        <f t="shared" ref="BY191" si="1489">Q191</f>
        <v>103</v>
      </c>
      <c r="BZ191" s="114">
        <f t="shared" ref="BZ191" si="1490">U191</f>
        <v>107</v>
      </c>
      <c r="CA191" s="113" t="str">
        <f t="shared" ref="CA191" si="1491">Y191</f>
        <v>-</v>
      </c>
      <c r="CB191" s="114">
        <f t="shared" ref="CB191" si="1492">AC191</f>
        <v>151</v>
      </c>
      <c r="CC191" s="113">
        <f t="shared" ref="CC191" si="1493">AG191</f>
        <v>187</v>
      </c>
      <c r="CD191" s="114">
        <f t="shared" ref="CD191" si="1494">AK191</f>
        <v>194</v>
      </c>
      <c r="CE191" s="113">
        <f t="shared" ref="CE191" si="1495">AO191</f>
        <v>241</v>
      </c>
      <c r="CF191" s="114">
        <f t="shared" ref="CF191" si="1496">AS191</f>
        <v>280</v>
      </c>
      <c r="CG191" s="113" t="str">
        <f t="shared" ref="CG191" si="1497">AW191</f>
        <v>-</v>
      </c>
      <c r="CH191" s="111">
        <f t="shared" ref="CH191" si="1498">G191</f>
        <v>65</v>
      </c>
      <c r="CI191" s="113" t="str">
        <f t="shared" ref="CI191" si="1499">K191</f>
        <v>-</v>
      </c>
      <c r="CJ191" s="114">
        <f t="shared" ref="CJ191" si="1500">O191</f>
        <v>101</v>
      </c>
      <c r="CK191" s="114">
        <f t="shared" ref="CK191" si="1501">S191</f>
        <v>106</v>
      </c>
      <c r="CL191" s="114">
        <f t="shared" ref="CL191" si="1502">W191</f>
        <v>142</v>
      </c>
      <c r="CM191" s="114" t="str">
        <f t="shared" ref="CM191" si="1503">AA191</f>
        <v>-</v>
      </c>
      <c r="CN191" s="114">
        <f t="shared" ref="CN191" si="1504">AE191</f>
        <v>176</v>
      </c>
      <c r="CO191" s="114">
        <f t="shared" ref="CO191" si="1505">AI191</f>
        <v>189</v>
      </c>
      <c r="CP191" s="114">
        <f t="shared" ref="CP191" si="1506">AM191</f>
        <v>232</v>
      </c>
      <c r="CQ191" s="114">
        <f t="shared" ref="CQ191" si="1507">AQ191</f>
        <v>274</v>
      </c>
      <c r="CR191" s="114">
        <f t="shared" ref="CR191" si="1508">AU191</f>
        <v>310</v>
      </c>
      <c r="CS191" s="114" t="str">
        <f t="shared" ref="CS191" si="1509">AY191</f>
        <v>-</v>
      </c>
      <c r="CT191" s="109" t="e">
        <f t="shared" ref="CT191" si="1510">M191-K191</f>
        <v>#VALUE!</v>
      </c>
    </row>
    <row r="192" spans="1:1029" s="12" customFormat="1" x14ac:dyDescent="0.2">
      <c r="A192" s="9" t="str">
        <f t="shared" ref="A192" si="1511">CONCATENATE(B192,"_",C192)</f>
        <v>cltr2_human_6RZ9</v>
      </c>
      <c r="B192" s="9" t="s">
        <v>180</v>
      </c>
      <c r="C192" s="9" t="s">
        <v>1616</v>
      </c>
      <c r="D192" s="9" t="str">
        <f>IFERROR(MID(VLOOKUP($B192,Seqs!$A:$B,2,0),E192,1),"")</f>
        <v>C</v>
      </c>
      <c r="E192" s="9">
        <v>31</v>
      </c>
      <c r="F192" s="9" t="str">
        <f>IFERROR(MID(VLOOKUP($B192,Seqs!$A:$B,2,0),G192,1),"")</f>
        <v>Q</v>
      </c>
      <c r="G192" s="9">
        <v>65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71</v>
      </c>
      <c r="N192" s="9" t="str">
        <f>IFERROR(MID(VLOOKUP($B192,Seqs!$A:$B,2,0),O192,1),"")</f>
        <v>G</v>
      </c>
      <c r="O192" s="9">
        <v>101</v>
      </c>
      <c r="P192" s="9" t="str">
        <f>IFERROR(MID(VLOOKUP($B192,Seqs!$A:$B,2,0),Q192,1),"")</f>
        <v>N</v>
      </c>
      <c r="Q192" s="9">
        <v>103</v>
      </c>
      <c r="R192" s="9" t="str">
        <f>IFERROR(MID(VLOOKUP($B192,Seqs!$A:$B,2,0),S192,1),"")</f>
        <v>F</v>
      </c>
      <c r="S192" s="9">
        <v>106</v>
      </c>
      <c r="T192" s="9" t="str">
        <f>IFERROR(MID(VLOOKUP($B192,Seqs!$A:$B,2,0),U192,1),"")</f>
        <v>G</v>
      </c>
      <c r="U192" s="9">
        <v>107</v>
      </c>
      <c r="V192" s="9" t="str">
        <f>IFERROR(MID(VLOOKUP($B192,Seqs!$A:$B,2,0),W192,1),"")</f>
        <v>H</v>
      </c>
      <c r="W192" s="9">
        <v>142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H</v>
      </c>
      <c r="AC192" s="9">
        <v>148</v>
      </c>
      <c r="AD192" s="9" t="str">
        <f>IFERROR(MID(VLOOKUP($B192,Seqs!$A:$B,2,0),AE192,1),"")</f>
        <v>S</v>
      </c>
      <c r="AE192" s="9">
        <v>176</v>
      </c>
      <c r="AF192" s="9" t="str">
        <f>IFERROR(MID(VLOOKUP($B192,Seqs!$A:$B,2,0),AG192,1),"")</f>
        <v>C</v>
      </c>
      <c r="AG192" s="9">
        <v>187</v>
      </c>
      <c r="AH192" s="9" t="str">
        <f>IFERROR(MID(VLOOKUP($B192,Seqs!$A:$B,2,0),AI192,1),"")</f>
        <v>E</v>
      </c>
      <c r="AI192" s="9">
        <v>189</v>
      </c>
      <c r="AJ192" s="9" t="str">
        <f>IFERROR(MID(VLOOKUP($B192,Seqs!$A:$B,2,0),AK192,1),"")</f>
        <v>K</v>
      </c>
      <c r="AK192" s="9">
        <v>194</v>
      </c>
      <c r="AL192" s="9" t="str">
        <f>IFERROR(MID(VLOOKUP($B192,Seqs!$A:$B,2,0),AM192,1),"")</f>
        <v>E</v>
      </c>
      <c r="AM192" s="9">
        <v>232</v>
      </c>
      <c r="AN192" s="9" t="str">
        <f>IFERROR(MID(VLOOKUP($B192,Seqs!$A:$B,2,0),AO192,1),"")</f>
        <v>S</v>
      </c>
      <c r="AO192" s="9">
        <v>241</v>
      </c>
      <c r="AP192" s="9" t="str">
        <f>IFERROR(MID(VLOOKUP($B192,Seqs!$A:$B,2,0),AQ192,1),"")</f>
        <v>W</v>
      </c>
      <c r="AQ192" s="9">
        <v>274</v>
      </c>
      <c r="AR192" s="9" t="str">
        <f>IFERROR(MID(VLOOKUP($B192,Seqs!$A:$B,2,0),AS192,1),"")</f>
        <v>K</v>
      </c>
      <c r="AS192" s="9">
        <v>280</v>
      </c>
      <c r="AT192" s="9" t="str">
        <f>IFERROR(MID(VLOOKUP($B192,Seqs!$A:$B,2,0),AU192,1),"")</f>
        <v>A</v>
      </c>
      <c r="AU192" s="9">
        <v>308</v>
      </c>
      <c r="AV192" s="9" t="str">
        <f>IFERROR(MID(VLOOKUP($B192,Seqs!$A:$B,2,0),AW192,1),"")</f>
        <v>N</v>
      </c>
      <c r="AW192" s="9">
        <v>311</v>
      </c>
      <c r="AX192" s="9" t="str">
        <f>IFERROR(MID(VLOOKUP($B192,Seqs!$A:$B,2,0),AY192,1),"")</f>
        <v>R</v>
      </c>
      <c r="AY192" s="9">
        <v>321</v>
      </c>
      <c r="AZ192" s="110" t="str">
        <f>VLOOKUP(B192,Classification!A:D,2,0)</f>
        <v>A</v>
      </c>
      <c r="BA192" s="98" t="str">
        <f>VLOOKUP(B192,Classification!A:D,4,0)</f>
        <v>Leukotriene</v>
      </c>
      <c r="BB192" s="36" t="b">
        <f t="shared" ref="BB192" si="1512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1513">_xlfn.AGGREGATE(9,6,CH192:CS192)-_xlfn.AGGREGATE(9,6,BV192:CG192)+12</f>
        <v>253</v>
      </c>
      <c r="BD192" s="126" t="s">
        <v>1423</v>
      </c>
      <c r="BE192" s="9" t="s">
        <v>1465</v>
      </c>
      <c r="BF192" s="119">
        <v>2.73</v>
      </c>
      <c r="BG192" s="51" t="s">
        <v>1</v>
      </c>
      <c r="BH192" s="51" t="s">
        <v>1</v>
      </c>
      <c r="BJ192" s="111" t="s">
        <v>1281</v>
      </c>
      <c r="BK192" s="112" t="s">
        <v>1281</v>
      </c>
      <c r="BL192" s="112" t="s">
        <v>1281</v>
      </c>
      <c r="BM192" s="112" t="s">
        <v>1281</v>
      </c>
      <c r="BN192" s="112" t="s">
        <v>1281</v>
      </c>
      <c r="BO192" s="112" t="s">
        <v>1281</v>
      </c>
      <c r="BP192" s="112" t="s">
        <v>1281</v>
      </c>
      <c r="BQ192" s="112" t="s">
        <v>1281</v>
      </c>
      <c r="BR192" s="112" t="s">
        <v>1281</v>
      </c>
      <c r="BS192" s="112" t="s">
        <v>1281</v>
      </c>
      <c r="BT192" s="112" t="s">
        <v>1281</v>
      </c>
      <c r="BU192" s="112" t="s">
        <v>1281</v>
      </c>
      <c r="BV192" s="111">
        <f t="shared" ref="BV192" si="1514">E192</f>
        <v>31</v>
      </c>
      <c r="BW192" s="113" t="str">
        <f t="shared" ref="BW192" si="1515">I192</f>
        <v>-</v>
      </c>
      <c r="BX192" s="114">
        <f t="shared" ref="BX192" si="1516">M192</f>
        <v>71</v>
      </c>
      <c r="BY192" s="113">
        <f t="shared" ref="BY192" si="1517">Q192</f>
        <v>103</v>
      </c>
      <c r="BZ192" s="114">
        <f t="shared" ref="BZ192" si="1518">U192</f>
        <v>107</v>
      </c>
      <c r="CA192" s="113" t="str">
        <f t="shared" ref="CA192" si="1519">Y192</f>
        <v>-</v>
      </c>
      <c r="CB192" s="114">
        <f t="shared" ref="CB192" si="1520">AC192</f>
        <v>148</v>
      </c>
      <c r="CC192" s="113">
        <f t="shared" ref="CC192" si="1521">AG192</f>
        <v>187</v>
      </c>
      <c r="CD192" s="114">
        <f t="shared" ref="CD192" si="1522">AK192</f>
        <v>194</v>
      </c>
      <c r="CE192" s="113">
        <f t="shared" ref="CE192" si="1523">AO192</f>
        <v>241</v>
      </c>
      <c r="CF192" s="114">
        <f t="shared" ref="CF192" si="1524">AS192</f>
        <v>280</v>
      </c>
      <c r="CG192" s="113">
        <f t="shared" ref="CG192" si="1525">AW192</f>
        <v>311</v>
      </c>
      <c r="CH192" s="111">
        <f t="shared" ref="CH192" si="1526">G192</f>
        <v>65</v>
      </c>
      <c r="CI192" s="113" t="str">
        <f t="shared" ref="CI192" si="1527">K192</f>
        <v>-</v>
      </c>
      <c r="CJ192" s="114">
        <f t="shared" ref="CJ192" si="1528">O192</f>
        <v>101</v>
      </c>
      <c r="CK192" s="114">
        <f t="shared" ref="CK192" si="1529">S192</f>
        <v>106</v>
      </c>
      <c r="CL192" s="114">
        <f t="shared" ref="CL192" si="1530">W192</f>
        <v>142</v>
      </c>
      <c r="CM192" s="114" t="str">
        <f t="shared" ref="CM192" si="1531">AA192</f>
        <v>-</v>
      </c>
      <c r="CN192" s="114">
        <f t="shared" ref="CN192" si="1532">AE192</f>
        <v>176</v>
      </c>
      <c r="CO192" s="114">
        <f t="shared" ref="CO192" si="1533">AI192</f>
        <v>189</v>
      </c>
      <c r="CP192" s="114">
        <f t="shared" ref="CP192" si="1534">AM192</f>
        <v>232</v>
      </c>
      <c r="CQ192" s="114">
        <f t="shared" ref="CQ192" si="1535">AQ192</f>
        <v>274</v>
      </c>
      <c r="CR192" s="114">
        <f t="shared" ref="CR192" si="1536">AU192</f>
        <v>308</v>
      </c>
      <c r="CS192" s="114">
        <f t="shared" ref="CS192" si="1537">AY192</f>
        <v>321</v>
      </c>
      <c r="CT192" s="109" t="e">
        <f t="shared" ref="CT192" si="1538">M192-K192</f>
        <v>#VALUE!</v>
      </c>
    </row>
    <row r="193" spans="1:1030" x14ac:dyDescent="0.2">
      <c r="A193" s="3" t="str">
        <f t="shared" si="1007"/>
        <v>cnr1_human__wt</v>
      </c>
      <c r="B193" s="3" t="s">
        <v>182</v>
      </c>
      <c r="C193" s="3" t="s">
        <v>100</v>
      </c>
      <c r="D193" s="3" t="str">
        <f>IFERROR(MID(VLOOKUP($B193,Seqs!$A:$B,2,0),E193,1),"")</f>
        <v>N</v>
      </c>
      <c r="E193" s="3">
        <v>112</v>
      </c>
      <c r="F193" s="3" t="str">
        <f>IFERROR(MID(VLOOKUP($B193,Seqs!$A:$B,2,0),G193,1),"")</f>
        <v>S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R</v>
      </c>
      <c r="M193" s="3">
        <v>150</v>
      </c>
      <c r="N193" s="3" t="str">
        <f>IFERROR(MID(VLOOKUP($B193,Seqs!$A:$B,2,0),O193,1),"")</f>
        <v>V</v>
      </c>
      <c r="O193" s="3">
        <v>179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185</v>
      </c>
      <c r="V193" s="3" t="str">
        <f>IFERROR(MID(VLOOKUP($B193,Seqs!$A:$B,2,0),W193,1),"")</f>
        <v>R</v>
      </c>
      <c r="W193" s="3">
        <v>220</v>
      </c>
      <c r="X193" s="3" t="str">
        <f>IFERROR(MID(VLOOKUP($B193,Seqs!$A:$B,2,0),Y193,1),"")</f>
        <v>P</v>
      </c>
      <c r="Y193" s="3">
        <v>221</v>
      </c>
      <c r="Z193" s="3" t="str">
        <f>IFERROR(MID(VLOOKUP($B193,Seqs!$A:$B,2,0),AA193,1),"")</f>
        <v>V</v>
      </c>
      <c r="AA193" s="3">
        <v>228</v>
      </c>
      <c r="AB193" s="3" t="str">
        <f>IFERROR(MID(VLOOKUP($B193,Seqs!$A:$B,2,0),AC193,1),"")</f>
        <v>T</v>
      </c>
      <c r="AC193" s="9">
        <v>229</v>
      </c>
      <c r="AD193" s="3" t="str">
        <f>IFERROR(MID(VLOOKUP($B193,Seqs!$A:$B,2,0),AE193,1),"")</f>
        <v>G</v>
      </c>
      <c r="AE193" s="3">
        <v>254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D</v>
      </c>
      <c r="AK193" s="3">
        <v>272</v>
      </c>
      <c r="AL193" s="3" t="str">
        <f>IFERROR(MID(VLOOKUP($B193,Seqs!$A:$B,2,0),AM193,1),"")</f>
        <v>G</v>
      </c>
      <c r="AM193" s="3">
        <v>312</v>
      </c>
      <c r="AN193" s="3" t="str">
        <f>IFERROR(MID(VLOOKUP($B193,Seqs!$A:$B,2,0),AO193,1),"")</f>
        <v>P</v>
      </c>
      <c r="AO193" s="3">
        <v>332</v>
      </c>
      <c r="AP193" s="3" t="str">
        <f>IFERROR(MID(VLOOKUP($B193,Seqs!$A:$B,2,0),AQ193,1),"")</f>
        <v>G</v>
      </c>
      <c r="AQ193" s="3">
        <v>369</v>
      </c>
      <c r="AR193" s="3" t="str">
        <f>IFERROR(MID(VLOOKUP($B193,Seqs!$A:$B,2,0),AS193,1),"")</f>
        <v>N</v>
      </c>
      <c r="AS193" s="3">
        <v>372</v>
      </c>
      <c r="AT193" s="3" t="str">
        <f>IFERROR(MID(VLOOKUP($B193,Seqs!$A:$B,2,0),AU193,1),"")</f>
        <v>R</v>
      </c>
      <c r="AU193" s="3">
        <v>400</v>
      </c>
      <c r="AV193" s="3" t="str">
        <f>IFERROR(MID(VLOOKUP($B193,Seqs!$A:$B,2,0),AW193,1),"")</f>
        <v>S</v>
      </c>
      <c r="AW193" s="3">
        <v>401</v>
      </c>
      <c r="AX193" s="3" t="str">
        <f>IFERROR(MID(VLOOKUP($B193,Seqs!$A:$B,2,0),AY193,1),"")</f>
        <v>P</v>
      </c>
      <c r="AY193" s="3">
        <v>413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008"/>
        <v>1</v>
      </c>
      <c r="BC193" s="23">
        <f t="shared" si="785"/>
        <v>260</v>
      </c>
      <c r="BD193" s="56" t="s">
        <v>23</v>
      </c>
      <c r="BE193" s="3" t="s">
        <v>23</v>
      </c>
      <c r="BF193" s="118" t="s">
        <v>23</v>
      </c>
      <c r="BG193" s="49" t="s">
        <v>1366</v>
      </c>
      <c r="BH193" s="49" t="s">
        <v>1371</v>
      </c>
      <c r="BJ193" s="70" t="s">
        <v>1281</v>
      </c>
      <c r="BK193" s="57" t="s">
        <v>1281</v>
      </c>
      <c r="BL193" s="57" t="s">
        <v>1281</v>
      </c>
      <c r="BM193" s="57" t="s">
        <v>1281</v>
      </c>
      <c r="BN193" s="57" t="s">
        <v>1281</v>
      </c>
      <c r="BO193" s="57" t="s">
        <v>1281</v>
      </c>
      <c r="BP193" s="57" t="s">
        <v>1281</v>
      </c>
      <c r="BQ193" s="57" t="s">
        <v>1281</v>
      </c>
      <c r="BR193" s="57" t="s">
        <v>1281</v>
      </c>
      <c r="BS193" s="57" t="s">
        <v>1281</v>
      </c>
      <c r="BT193" s="57" t="s">
        <v>1281</v>
      </c>
      <c r="BU193" s="57" t="s">
        <v>1281</v>
      </c>
      <c r="BV193" s="70">
        <f t="shared" si="786"/>
        <v>112</v>
      </c>
      <c r="BW193" s="71">
        <f t="shared" si="787"/>
        <v>145</v>
      </c>
      <c r="BX193" s="72">
        <f t="shared" si="788"/>
        <v>150</v>
      </c>
      <c r="BY193" s="71" t="str">
        <f t="shared" si="789"/>
        <v>-</v>
      </c>
      <c r="BZ193" s="72">
        <f t="shared" si="790"/>
        <v>185</v>
      </c>
      <c r="CA193" s="71">
        <f t="shared" si="791"/>
        <v>221</v>
      </c>
      <c r="CB193" s="72">
        <f t="shared" si="792"/>
        <v>229</v>
      </c>
      <c r="CC193" s="71" t="str">
        <f t="shared" si="793"/>
        <v>-</v>
      </c>
      <c r="CD193" s="72">
        <f t="shared" si="794"/>
        <v>272</v>
      </c>
      <c r="CE193" s="71">
        <f t="shared" si="795"/>
        <v>332</v>
      </c>
      <c r="CF193" s="72">
        <f t="shared" si="796"/>
        <v>372</v>
      </c>
      <c r="CG193" s="71">
        <f t="shared" si="797"/>
        <v>401</v>
      </c>
      <c r="CH193" s="70">
        <f t="shared" si="798"/>
        <v>144</v>
      </c>
      <c r="CI193" s="71">
        <f t="shared" si="799"/>
        <v>148</v>
      </c>
      <c r="CJ193" s="72">
        <f t="shared" si="800"/>
        <v>179</v>
      </c>
      <c r="CK193" s="72" t="str">
        <f t="shared" si="801"/>
        <v>-</v>
      </c>
      <c r="CL193" s="72">
        <f t="shared" si="802"/>
        <v>220</v>
      </c>
      <c r="CM193" s="72">
        <f t="shared" si="803"/>
        <v>228</v>
      </c>
      <c r="CN193" s="72">
        <f t="shared" si="804"/>
        <v>254</v>
      </c>
      <c r="CO193" s="72" t="str">
        <f t="shared" si="805"/>
        <v>-</v>
      </c>
      <c r="CP193" s="72">
        <f t="shared" si="806"/>
        <v>312</v>
      </c>
      <c r="CQ193" s="72">
        <f t="shared" si="807"/>
        <v>369</v>
      </c>
      <c r="CR193" s="72">
        <f t="shared" si="808"/>
        <v>400</v>
      </c>
      <c r="CS193" s="72">
        <f t="shared" si="809"/>
        <v>413</v>
      </c>
      <c r="CT193" s="23">
        <f t="shared" si="810"/>
        <v>2</v>
      </c>
    </row>
    <row r="194" spans="1:1030" s="3" customFormat="1" x14ac:dyDescent="0.2">
      <c r="A194" s="3" t="str">
        <f t="shared" si="1007"/>
        <v>cnr1_human_5TGZ</v>
      </c>
      <c r="B194" s="3" t="s">
        <v>182</v>
      </c>
      <c r="C194" s="3" t="s">
        <v>1353</v>
      </c>
      <c r="D194" s="3" t="str">
        <f>IFERROR(MID(VLOOKUP($B194,Seqs!$A:$B,2,0),E194,1),"")</f>
        <v>P</v>
      </c>
      <c r="E194" s="3">
        <v>113</v>
      </c>
      <c r="F194" s="3" t="str">
        <f>IFERROR(MID(VLOOKUP($B194,Seqs!$A:$B,2,0),G194,1),"")</f>
        <v>S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R</v>
      </c>
      <c r="M194" s="3">
        <v>150</v>
      </c>
      <c r="N194" s="3" t="str">
        <f>IFERROR(MID(VLOOKUP($B194,Seqs!$A:$B,2,0),O194,1),"")</f>
        <v>V</v>
      </c>
      <c r="O194" s="3">
        <v>179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185</v>
      </c>
      <c r="V194" s="3" t="str">
        <f>IFERROR(MID(VLOOKUP($B194,Seqs!$A:$B,2,0),W194,1),"")</f>
        <v>R</v>
      </c>
      <c r="W194" s="3">
        <v>220</v>
      </c>
      <c r="X194" s="3" t="str">
        <f>IFERROR(MID(VLOOKUP($B194,Seqs!$A:$B,2,0),Y194,1),"")</f>
        <v>P</v>
      </c>
      <c r="Y194" s="3">
        <v>221</v>
      </c>
      <c r="Z194" s="3" t="str">
        <f>IFERROR(MID(VLOOKUP($B194,Seqs!$A:$B,2,0),AA194,1),"")</f>
        <v>V</v>
      </c>
      <c r="AA194" s="3">
        <v>228</v>
      </c>
      <c r="AB194" s="3" t="str">
        <f>IFERROR(MID(VLOOKUP($B194,Seqs!$A:$B,2,0),AC194,1),"")</f>
        <v>T</v>
      </c>
      <c r="AC194" s="9">
        <v>229</v>
      </c>
      <c r="AD194" s="3" t="str">
        <f>IFERROR(MID(VLOOKUP($B194,Seqs!$A:$B,2,0),AE194,1),"")</f>
        <v>G</v>
      </c>
      <c r="AE194" s="3">
        <v>254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D</v>
      </c>
      <c r="AK194" s="3">
        <v>272</v>
      </c>
      <c r="AL194" s="3" t="str">
        <f>IFERROR(MID(VLOOKUP($B194,Seqs!$A:$B,2,0),AM194,1),"")</f>
        <v>H</v>
      </c>
      <c r="AM194" s="3">
        <v>304</v>
      </c>
      <c r="AN194" s="3" t="str">
        <f>IFERROR(MID(VLOOKUP($B194,Seqs!$A:$B,2,0),AO194,1),"")</f>
        <v>P</v>
      </c>
      <c r="AO194" s="3">
        <v>332</v>
      </c>
      <c r="AP194" s="3" t="str">
        <f>IFERROR(MID(VLOOKUP($B194,Seqs!$A:$B,2,0),AQ194,1),"")</f>
        <v>F</v>
      </c>
      <c r="AQ194" s="3">
        <v>368</v>
      </c>
      <c r="AR194" s="3" t="str">
        <f>IFERROR(MID(VLOOKUP($B194,Seqs!$A:$B,2,0),AS194,1),"")</f>
        <v>N</v>
      </c>
      <c r="AS194" s="3">
        <v>372</v>
      </c>
      <c r="AT194" s="3" t="str">
        <f>IFERROR(MID(VLOOKUP($B194,Seqs!$A:$B,2,0),AU194,1),"")</f>
        <v>R</v>
      </c>
      <c r="AU194" s="3">
        <v>400</v>
      </c>
      <c r="AV194" s="3" t="str">
        <f>IFERROR(MID(VLOOKUP($B194,Seqs!$A:$B,2,0),AW194,1),"")</f>
        <v>S</v>
      </c>
      <c r="AW194" s="3">
        <v>401</v>
      </c>
      <c r="AX194" s="3" t="str">
        <f>IFERROR(MID(VLOOKUP($B194,Seqs!$A:$B,2,0),AY194,1),"")</f>
        <v>M</v>
      </c>
      <c r="AY194" s="3">
        <v>411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008"/>
        <v>1</v>
      </c>
      <c r="BC194" s="23">
        <f t="shared" si="785"/>
        <v>248</v>
      </c>
      <c r="BD194" s="16" t="s">
        <v>1370</v>
      </c>
      <c r="BE194" s="3" t="s">
        <v>1368</v>
      </c>
      <c r="BF194" s="118">
        <v>2.8</v>
      </c>
      <c r="BG194" s="49" t="s">
        <v>1371</v>
      </c>
      <c r="BH194" s="49" t="s">
        <v>1371</v>
      </c>
      <c r="BJ194" s="70" t="s">
        <v>1281</v>
      </c>
      <c r="BK194" s="57" t="s">
        <v>1281</v>
      </c>
      <c r="BL194" s="57" t="s">
        <v>1281</v>
      </c>
      <c r="BM194" s="57" t="s">
        <v>1281</v>
      </c>
      <c r="BN194" s="57" t="s">
        <v>1281</v>
      </c>
      <c r="BO194" s="57" t="s">
        <v>1281</v>
      </c>
      <c r="BP194" s="57" t="s">
        <v>1281</v>
      </c>
      <c r="BQ194" s="57" t="s">
        <v>1281</v>
      </c>
      <c r="BR194" s="57" t="s">
        <v>1281</v>
      </c>
      <c r="BS194" s="57" t="s">
        <v>1281</v>
      </c>
      <c r="BT194" s="57" t="s">
        <v>1281</v>
      </c>
      <c r="BU194" s="57" t="s">
        <v>1281</v>
      </c>
      <c r="BV194" s="70">
        <f t="shared" si="786"/>
        <v>113</v>
      </c>
      <c r="BW194" s="71">
        <f t="shared" si="787"/>
        <v>145</v>
      </c>
      <c r="BX194" s="72">
        <f t="shared" si="788"/>
        <v>150</v>
      </c>
      <c r="BY194" s="71" t="str">
        <f t="shared" si="789"/>
        <v>-</v>
      </c>
      <c r="BZ194" s="72">
        <f t="shared" si="790"/>
        <v>185</v>
      </c>
      <c r="CA194" s="71">
        <f t="shared" si="791"/>
        <v>221</v>
      </c>
      <c r="CB194" s="72">
        <f t="shared" si="792"/>
        <v>229</v>
      </c>
      <c r="CC194" s="71" t="str">
        <f t="shared" si="793"/>
        <v>-</v>
      </c>
      <c r="CD194" s="72">
        <f t="shared" si="794"/>
        <v>272</v>
      </c>
      <c r="CE194" s="71">
        <f t="shared" si="795"/>
        <v>332</v>
      </c>
      <c r="CF194" s="72">
        <f t="shared" si="796"/>
        <v>372</v>
      </c>
      <c r="CG194" s="71">
        <f t="shared" si="797"/>
        <v>401</v>
      </c>
      <c r="CH194" s="70">
        <f t="shared" si="798"/>
        <v>144</v>
      </c>
      <c r="CI194" s="71">
        <f t="shared" si="799"/>
        <v>148</v>
      </c>
      <c r="CJ194" s="72">
        <f t="shared" si="800"/>
        <v>179</v>
      </c>
      <c r="CK194" s="72" t="str">
        <f t="shared" si="801"/>
        <v>-</v>
      </c>
      <c r="CL194" s="72">
        <f t="shared" si="802"/>
        <v>220</v>
      </c>
      <c r="CM194" s="72">
        <f t="shared" si="803"/>
        <v>228</v>
      </c>
      <c r="CN194" s="72">
        <f t="shared" si="804"/>
        <v>254</v>
      </c>
      <c r="CO194" s="72" t="str">
        <f t="shared" si="805"/>
        <v>-</v>
      </c>
      <c r="CP194" s="72">
        <f t="shared" si="806"/>
        <v>304</v>
      </c>
      <c r="CQ194" s="72">
        <f t="shared" si="807"/>
        <v>368</v>
      </c>
      <c r="CR194" s="72">
        <f t="shared" si="808"/>
        <v>400</v>
      </c>
      <c r="CS194" s="72">
        <f t="shared" si="809"/>
        <v>411</v>
      </c>
      <c r="CT194" s="23">
        <f t="shared" si="810"/>
        <v>2</v>
      </c>
      <c r="AMP194" s="1"/>
    </row>
    <row r="195" spans="1:1030" x14ac:dyDescent="0.2">
      <c r="A195" s="3" t="str">
        <f t="shared" si="1007"/>
        <v>cnr1_human_5U09</v>
      </c>
      <c r="B195" s="3" t="s">
        <v>182</v>
      </c>
      <c r="C195" s="3" t="s">
        <v>1358</v>
      </c>
      <c r="D195" s="3" t="str">
        <f>IFERROR(MID(VLOOKUP($B195,Seqs!$A:$B,2,0),E195,1),"")</f>
        <v>N</v>
      </c>
      <c r="E195" s="3">
        <v>112</v>
      </c>
      <c r="F195" s="3" t="str">
        <f>IFERROR(MID(VLOOKUP($B195,Seqs!$A:$B,2,0),G195,1),"")</f>
        <v>S</v>
      </c>
      <c r="G195" s="3">
        <v>144</v>
      </c>
      <c r="H195" s="3" t="str">
        <f>IFERROR(MID(VLOOKUP($B195,Seqs!$A:$B,2,0),I195,1),"")</f>
        <v>R</v>
      </c>
      <c r="I195" s="23">
        <v>145</v>
      </c>
      <c r="J195" s="3" t="str">
        <f>IFERROR(MID(VLOOKUP($B195,Seqs!$A:$B,2,0),K195,1),"")</f>
        <v>R</v>
      </c>
      <c r="K195" s="23">
        <v>148</v>
      </c>
      <c r="L195" s="3" t="str">
        <f>IFERROR(MID(VLOOKUP($B195,Seqs!$A:$B,2,0),M195,1),"")</f>
        <v>R</v>
      </c>
      <c r="M195" s="3">
        <v>150</v>
      </c>
      <c r="N195" s="3" t="str">
        <f>IFERROR(MID(VLOOKUP($B195,Seqs!$A:$B,2,0),O195,1),"")</f>
        <v>V</v>
      </c>
      <c r="O195" s="3">
        <v>179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185</v>
      </c>
      <c r="V195" s="3" t="str">
        <f>IFERROR(MID(VLOOKUP($B195,Seqs!$A:$B,2,0),W195,1),"")</f>
        <v>R</v>
      </c>
      <c r="W195" s="3">
        <v>220</v>
      </c>
      <c r="X195" s="3" t="str">
        <f>IFERROR(MID(VLOOKUP($B195,Seqs!$A:$B,2,0),Y195,1),"")</f>
        <v>P</v>
      </c>
      <c r="Y195" s="3">
        <v>221</v>
      </c>
      <c r="Z195" s="3" t="str">
        <f>IFERROR(MID(VLOOKUP($B195,Seqs!$A:$B,2,0),AA195,1),"")</f>
        <v>V</v>
      </c>
      <c r="AA195" s="3">
        <v>228</v>
      </c>
      <c r="AB195" s="3" t="str">
        <f>IFERROR(MID(VLOOKUP($B195,Seqs!$A:$B,2,0),AC195,1),"")</f>
        <v>T</v>
      </c>
      <c r="AC195" s="9">
        <v>229</v>
      </c>
      <c r="AD195" s="3" t="str">
        <f>IFERROR(MID(VLOOKUP($B195,Seqs!$A:$B,2,0),AE195,1),"")</f>
        <v>G</v>
      </c>
      <c r="AE195" s="3">
        <v>254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D</v>
      </c>
      <c r="AK195" s="3">
        <v>272</v>
      </c>
      <c r="AL195" s="3" t="str">
        <f>IFERROR(MID(VLOOKUP($B195,Seqs!$A:$B,2,0),AM195,1),"")</f>
        <v>A</v>
      </c>
      <c r="AM195" s="3">
        <v>301</v>
      </c>
      <c r="AN195" s="3" t="str">
        <f>IFERROR(MID(VLOOKUP($B195,Seqs!$A:$B,2,0),AO195,1),"")</f>
        <v>D</v>
      </c>
      <c r="AO195" s="3">
        <v>333</v>
      </c>
      <c r="AP195" s="3" t="str">
        <f>IFERROR(MID(VLOOKUP($B195,Seqs!$A:$B,2,0),AQ195,1),"")</f>
        <v>F</v>
      </c>
      <c r="AQ195" s="3">
        <v>368</v>
      </c>
      <c r="AR195" s="3" t="str">
        <f>IFERROR(MID(VLOOKUP($B195,Seqs!$A:$B,2,0),AS195,1),"")</f>
        <v>L</v>
      </c>
      <c r="AS195" s="3">
        <v>374</v>
      </c>
      <c r="AT195" s="3" t="str">
        <f>IFERROR(MID(VLOOKUP($B195,Seqs!$A:$B,2,0),AU195,1),"")</f>
        <v>R</v>
      </c>
      <c r="AU195" s="3">
        <v>400</v>
      </c>
      <c r="AV195" s="3" t="str">
        <f>IFERROR(MID(VLOOKUP($B195,Seqs!$A:$B,2,0),AW195,1),"")</f>
        <v>S</v>
      </c>
      <c r="AW195" s="3">
        <v>401</v>
      </c>
      <c r="AX195" s="3" t="str">
        <f>IFERROR(MID(VLOOKUP($B195,Seqs!$A:$B,2,0),AY195,1),"")</f>
        <v>M</v>
      </c>
      <c r="AY195" s="3">
        <v>411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008"/>
        <v>1</v>
      </c>
      <c r="BC195" s="23">
        <f t="shared" si="785"/>
        <v>243</v>
      </c>
      <c r="BD195" s="2" t="s">
        <v>23</v>
      </c>
      <c r="BE195" s="3" t="s">
        <v>1368</v>
      </c>
      <c r="BF195" s="118">
        <v>2.6</v>
      </c>
      <c r="BG195" s="49" t="s">
        <v>1371</v>
      </c>
      <c r="BH195" s="49" t="s">
        <v>1371</v>
      </c>
      <c r="BJ195" s="70" t="s">
        <v>1281</v>
      </c>
      <c r="BK195" s="57" t="s">
        <v>1281</v>
      </c>
      <c r="BL195" s="57" t="s">
        <v>1281</v>
      </c>
      <c r="BM195" s="57" t="s">
        <v>1281</v>
      </c>
      <c r="BN195" s="57" t="s">
        <v>1281</v>
      </c>
      <c r="BO195" s="57" t="s">
        <v>1281</v>
      </c>
      <c r="BP195" s="57" t="s">
        <v>1281</v>
      </c>
      <c r="BQ195" s="57" t="s">
        <v>1281</v>
      </c>
      <c r="BR195" s="57" t="s">
        <v>1281</v>
      </c>
      <c r="BS195" s="57" t="s">
        <v>1281</v>
      </c>
      <c r="BT195" s="57" t="s">
        <v>1281</v>
      </c>
      <c r="BU195" s="57" t="s">
        <v>1281</v>
      </c>
      <c r="BV195" s="70">
        <f t="shared" si="786"/>
        <v>112</v>
      </c>
      <c r="BW195" s="71">
        <f t="shared" si="787"/>
        <v>145</v>
      </c>
      <c r="BX195" s="72">
        <f t="shared" si="788"/>
        <v>150</v>
      </c>
      <c r="BY195" s="71" t="str">
        <f t="shared" si="789"/>
        <v>-</v>
      </c>
      <c r="BZ195" s="72">
        <f t="shared" si="790"/>
        <v>185</v>
      </c>
      <c r="CA195" s="71">
        <f t="shared" si="791"/>
        <v>221</v>
      </c>
      <c r="CB195" s="72">
        <f t="shared" si="792"/>
        <v>229</v>
      </c>
      <c r="CC195" s="71" t="str">
        <f t="shared" si="793"/>
        <v>-</v>
      </c>
      <c r="CD195" s="72">
        <f t="shared" si="794"/>
        <v>272</v>
      </c>
      <c r="CE195" s="71">
        <f t="shared" si="795"/>
        <v>333</v>
      </c>
      <c r="CF195" s="72">
        <f t="shared" si="796"/>
        <v>374</v>
      </c>
      <c r="CG195" s="71">
        <f t="shared" si="797"/>
        <v>401</v>
      </c>
      <c r="CH195" s="70">
        <f t="shared" si="798"/>
        <v>144</v>
      </c>
      <c r="CI195" s="71">
        <f t="shared" si="799"/>
        <v>148</v>
      </c>
      <c r="CJ195" s="72">
        <f t="shared" si="800"/>
        <v>179</v>
      </c>
      <c r="CK195" s="72" t="str">
        <f t="shared" si="801"/>
        <v>-</v>
      </c>
      <c r="CL195" s="72">
        <f t="shared" si="802"/>
        <v>220</v>
      </c>
      <c r="CM195" s="72">
        <f t="shared" si="803"/>
        <v>228</v>
      </c>
      <c r="CN195" s="72">
        <f t="shared" si="804"/>
        <v>254</v>
      </c>
      <c r="CO195" s="72" t="str">
        <f t="shared" si="805"/>
        <v>-</v>
      </c>
      <c r="CP195" s="72">
        <f t="shared" si="806"/>
        <v>301</v>
      </c>
      <c r="CQ195" s="72">
        <f t="shared" si="807"/>
        <v>368</v>
      </c>
      <c r="CR195" s="72">
        <f t="shared" si="808"/>
        <v>400</v>
      </c>
      <c r="CS195" s="72">
        <f t="shared" si="809"/>
        <v>411</v>
      </c>
      <c r="CT195" s="23">
        <f t="shared" si="810"/>
        <v>2</v>
      </c>
    </row>
    <row r="196" spans="1:1030" x14ac:dyDescent="0.2">
      <c r="A196" s="3" t="str">
        <f t="shared" ref="A196:A202" si="1539">CONCATENATE(B196,"_",C196)</f>
        <v>cnr1_human_5XR8</v>
      </c>
      <c r="B196" s="3" t="s">
        <v>182</v>
      </c>
      <c r="C196" s="3" t="s">
        <v>1418</v>
      </c>
      <c r="D196" s="3" t="str">
        <f>IFERROR(MID(VLOOKUP($B196,Seqs!$A:$B,2,0),E196,1),"")</f>
        <v>N</v>
      </c>
      <c r="E196" s="3">
        <v>112</v>
      </c>
      <c r="F196" s="3" t="str">
        <f>IFERROR(MID(VLOOKUP($B196,Seqs!$A:$B,2,0),G196,1),"")</f>
        <v>S</v>
      </c>
      <c r="G196" s="3">
        <v>146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Y</v>
      </c>
      <c r="M196" s="3">
        <v>153</v>
      </c>
      <c r="N196" s="3" t="str">
        <f>IFERROR(MID(VLOOKUP($B196,Seqs!$A:$B,2,0),O196,1),"")</f>
        <v>F</v>
      </c>
      <c r="O196" s="3">
        <v>180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185</v>
      </c>
      <c r="V196" s="3" t="str">
        <f>IFERROR(MID(VLOOKUP($B196,Seqs!$A:$B,2,0),W196,1),"")</f>
        <v>R</v>
      </c>
      <c r="W196" s="3">
        <v>220</v>
      </c>
      <c r="X196" s="3" t="str">
        <f>IFERROR(MID(VLOOKUP($B196,Seqs!$A:$B,2,0),Y196,1),"")</f>
        <v>P</v>
      </c>
      <c r="Y196" s="3">
        <v>221</v>
      </c>
      <c r="Z196" s="3" t="str">
        <f>IFERROR(MID(VLOOKUP($B196,Seqs!$A:$B,2,0),AA196,1),"")</f>
        <v>V</v>
      </c>
      <c r="AA196" s="3">
        <v>228</v>
      </c>
      <c r="AB196" s="3" t="str">
        <f>IFERROR(MID(VLOOKUP($B196,Seqs!$A:$B,2,0),AC196,1),"")</f>
        <v>T</v>
      </c>
      <c r="AC196" s="3">
        <v>229</v>
      </c>
      <c r="AD196" s="3" t="str">
        <f>IFERROR(MID(VLOOKUP($B196,Seqs!$A:$B,2,0),AE196,1),"")</f>
        <v>G</v>
      </c>
      <c r="AE196" s="3">
        <v>254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D</v>
      </c>
      <c r="AK196" s="3">
        <v>272</v>
      </c>
      <c r="AL196" s="3" t="str">
        <f>IFERROR(MID(VLOOKUP($B196,Seqs!$A:$B,2,0),AM196,1),"")</f>
        <v>S</v>
      </c>
      <c r="AM196" s="3">
        <v>303</v>
      </c>
      <c r="AN196" s="3" t="str">
        <f>IFERROR(MID(VLOOKUP($B196,Seqs!$A:$B,2,0),AO196,1),"")</f>
        <v>D</v>
      </c>
      <c r="AO196" s="3">
        <v>338</v>
      </c>
      <c r="AP196" s="3" t="str">
        <f>IFERROR(MID(VLOOKUP($B196,Seqs!$A:$B,2,0),AQ196,1),"")</f>
        <v>F</v>
      </c>
      <c r="AQ196" s="3">
        <v>368</v>
      </c>
      <c r="AR196" s="3" t="str">
        <f>IFERROR(MID(VLOOKUP($B196,Seqs!$A:$B,2,0),AS196,1),"")</f>
        <v>N</v>
      </c>
      <c r="AS196" s="3">
        <v>372</v>
      </c>
      <c r="AT196" s="3" t="str">
        <f>IFERROR(MID(VLOOKUP($B196,Seqs!$A:$B,2,0),AU196,1),"")</f>
        <v>Y</v>
      </c>
      <c r="AU196" s="3">
        <v>397</v>
      </c>
      <c r="AV196" s="3" t="str">
        <f>IFERROR(MID(VLOOKUP($B196,Seqs!$A:$B,2,0),AW196,1),"")</f>
        <v>S</v>
      </c>
      <c r="AW196" s="3">
        <v>401</v>
      </c>
      <c r="AX196" s="3" t="str">
        <f>IFERROR(MID(VLOOKUP($B196,Seqs!$A:$B,2,0),AY196,1),"")</f>
        <v>F</v>
      </c>
      <c r="AY196" s="3">
        <v>412</v>
      </c>
      <c r="AZ196" s="77" t="str">
        <f>VLOOKUP(B196,Classification!A:D,2,0)</f>
        <v>A</v>
      </c>
      <c r="BA196" s="94" t="str">
        <f>VLOOKUP(B196,Classification!A:D,4,0)</f>
        <v>Cannabinoid</v>
      </c>
      <c r="BB196" s="27" t="b">
        <f t="shared" ref="BB196:BB202" si="154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202" si="1541">_xlfn.AGGREGATE(9,6,CH196:CS196)-_xlfn.AGGREGATE(9,6,BV196:CG196)+12</f>
        <v>237</v>
      </c>
      <c r="BD196" s="2" t="s">
        <v>23</v>
      </c>
      <c r="BE196" s="3" t="s">
        <v>1285</v>
      </c>
      <c r="BF196" s="118">
        <v>2.95</v>
      </c>
      <c r="BG196" s="49" t="s">
        <v>1</v>
      </c>
      <c r="BH196" s="49" t="s">
        <v>1</v>
      </c>
      <c r="BJ196" s="70" t="s">
        <v>1281</v>
      </c>
      <c r="BK196" s="57" t="s">
        <v>1281</v>
      </c>
      <c r="BL196" s="57" t="s">
        <v>1281</v>
      </c>
      <c r="BM196" s="57" t="s">
        <v>1281</v>
      </c>
      <c r="BN196" s="57" t="s">
        <v>1281</v>
      </c>
      <c r="BO196" s="57" t="s">
        <v>1281</v>
      </c>
      <c r="BP196" s="57" t="s">
        <v>1281</v>
      </c>
      <c r="BQ196" s="57" t="s">
        <v>1281</v>
      </c>
      <c r="BR196" s="57" t="s">
        <v>1281</v>
      </c>
      <c r="BS196" s="57" t="s">
        <v>1281</v>
      </c>
      <c r="BT196" s="57" t="s">
        <v>1281</v>
      </c>
      <c r="BU196" s="57" t="s">
        <v>1281</v>
      </c>
      <c r="BV196" s="70">
        <f t="shared" ref="BV196:BV202" si="1542">E196</f>
        <v>112</v>
      </c>
      <c r="BW196" s="71" t="str">
        <f t="shared" ref="BW196:BW202" si="1543">I196</f>
        <v>-</v>
      </c>
      <c r="BX196" s="72">
        <f t="shared" ref="BX196:BX202" si="1544">M196</f>
        <v>153</v>
      </c>
      <c r="BY196" s="71" t="str">
        <f t="shared" ref="BY196:BY202" si="1545">Q196</f>
        <v>-</v>
      </c>
      <c r="BZ196" s="72">
        <f t="shared" ref="BZ196:BZ202" si="1546">U196</f>
        <v>185</v>
      </c>
      <c r="CA196" s="71">
        <f t="shared" ref="CA196:CA202" si="1547">Y196</f>
        <v>221</v>
      </c>
      <c r="CB196" s="72">
        <f t="shared" ref="CB196:CB202" si="1548">AC196</f>
        <v>229</v>
      </c>
      <c r="CC196" s="71" t="str">
        <f t="shared" ref="CC196:CC202" si="1549">AG196</f>
        <v>-</v>
      </c>
      <c r="CD196" s="72">
        <f t="shared" ref="CD196:CD202" si="1550">AK196</f>
        <v>272</v>
      </c>
      <c r="CE196" s="71">
        <f t="shared" ref="CE196:CE202" si="1551">AO196</f>
        <v>338</v>
      </c>
      <c r="CF196" s="72">
        <f t="shared" ref="CF196:CF202" si="1552">AS196</f>
        <v>372</v>
      </c>
      <c r="CG196" s="71">
        <f t="shared" ref="CG196:CG202" si="1553">AW196</f>
        <v>401</v>
      </c>
      <c r="CH196" s="70">
        <f t="shared" ref="CH196:CH202" si="1554">G196</f>
        <v>146</v>
      </c>
      <c r="CI196" s="71" t="str">
        <f t="shared" ref="CI196:CI202" si="1555">K196</f>
        <v>-</v>
      </c>
      <c r="CJ196" s="72">
        <f t="shared" ref="CJ196:CJ202" si="1556">O196</f>
        <v>180</v>
      </c>
      <c r="CK196" s="72" t="str">
        <f t="shared" ref="CK196:CK202" si="1557">S196</f>
        <v>-</v>
      </c>
      <c r="CL196" s="72">
        <f t="shared" ref="CL196:CL202" si="1558">W196</f>
        <v>220</v>
      </c>
      <c r="CM196" s="72">
        <f t="shared" ref="CM196:CM202" si="1559">AA196</f>
        <v>228</v>
      </c>
      <c r="CN196" s="72">
        <f t="shared" ref="CN196:CN202" si="1560">AE196</f>
        <v>254</v>
      </c>
      <c r="CO196" s="72" t="str">
        <f t="shared" ref="CO196:CO202" si="1561">AI196</f>
        <v>-</v>
      </c>
      <c r="CP196" s="72">
        <f t="shared" ref="CP196:CP202" si="1562">AM196</f>
        <v>303</v>
      </c>
      <c r="CQ196" s="72">
        <f t="shared" ref="CQ196:CQ202" si="1563">AQ196</f>
        <v>368</v>
      </c>
      <c r="CR196" s="72">
        <f t="shared" ref="CR196:CR202" si="1564">AU196</f>
        <v>397</v>
      </c>
      <c r="CS196" s="72">
        <f t="shared" ref="CS196:CS202" si="1565">AY196</f>
        <v>412</v>
      </c>
      <c r="CT196" s="23" t="e">
        <f t="shared" ref="CT196:CT202" si="1566">M196-K196</f>
        <v>#VALUE!</v>
      </c>
    </row>
    <row r="197" spans="1:1030" x14ac:dyDescent="0.2">
      <c r="A197" s="3" t="str">
        <f t="shared" si="1539"/>
        <v>cnr1_human_5XRA</v>
      </c>
      <c r="B197" s="3" t="s">
        <v>182</v>
      </c>
      <c r="C197" s="3" t="s">
        <v>1419</v>
      </c>
      <c r="D197" s="3" t="str">
        <f>IFERROR(MID(VLOOKUP($B197,Seqs!$A:$B,2,0),E197,1),"")</f>
        <v>N</v>
      </c>
      <c r="E197" s="3">
        <v>112</v>
      </c>
      <c r="F197" s="3" t="str">
        <f>IFERROR(MID(VLOOKUP($B197,Seqs!$A:$B,2,0),G197,1),"")</f>
        <v>S</v>
      </c>
      <c r="G197" s="3">
        <v>146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Y</v>
      </c>
      <c r="M197" s="3">
        <v>153</v>
      </c>
      <c r="N197" s="3" t="str">
        <f>IFERROR(MID(VLOOKUP($B197,Seqs!$A:$B,2,0),O197,1),"")</f>
        <v>F</v>
      </c>
      <c r="O197" s="3">
        <v>180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185</v>
      </c>
      <c r="V197" s="3" t="str">
        <f>IFERROR(MID(VLOOKUP($B197,Seqs!$A:$B,2,0),W197,1),"")</f>
        <v>R</v>
      </c>
      <c r="W197" s="3">
        <v>220</v>
      </c>
      <c r="X197" s="3" t="str">
        <f>IFERROR(MID(VLOOKUP($B197,Seqs!$A:$B,2,0),Y197,1),"")</f>
        <v>P</v>
      </c>
      <c r="Y197" s="3">
        <v>221</v>
      </c>
      <c r="Z197" s="3" t="str">
        <f>IFERROR(MID(VLOOKUP($B197,Seqs!$A:$B,2,0),AA197,1),"")</f>
        <v>V</v>
      </c>
      <c r="AA197" s="3">
        <v>228</v>
      </c>
      <c r="AB197" s="3" t="str">
        <f>IFERROR(MID(VLOOKUP($B197,Seqs!$A:$B,2,0),AC197,1),"")</f>
        <v>T</v>
      </c>
      <c r="AC197" s="3">
        <v>229</v>
      </c>
      <c r="AD197" s="3" t="str">
        <f>IFERROR(MID(VLOOKUP($B197,Seqs!$A:$B,2,0),AE197,1),"")</f>
        <v>G</v>
      </c>
      <c r="AE197" s="3">
        <v>254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D</v>
      </c>
      <c r="AK197" s="3">
        <v>272</v>
      </c>
      <c r="AL197" s="3" t="str">
        <f>IFERROR(MID(VLOOKUP($B197,Seqs!$A:$B,2,0),AM197,1),"")</f>
        <v>A</v>
      </c>
      <c r="AM197" s="3">
        <v>305</v>
      </c>
      <c r="AN197" s="3" t="str">
        <f>IFERROR(MID(VLOOKUP($B197,Seqs!$A:$B,2,0),AO197,1),"")</f>
        <v>D</v>
      </c>
      <c r="AO197" s="3">
        <v>338</v>
      </c>
      <c r="AP197" s="3" t="str">
        <f>IFERROR(MID(VLOOKUP($B197,Seqs!$A:$B,2,0),AQ197,1),"")</f>
        <v>G</v>
      </c>
      <c r="AQ197" s="3">
        <v>369</v>
      </c>
      <c r="AR197" s="3" t="str">
        <f>IFERROR(MID(VLOOKUP($B197,Seqs!$A:$B,2,0),AS197,1),"")</f>
        <v>N</v>
      </c>
      <c r="AS197" s="3">
        <v>372</v>
      </c>
      <c r="AT197" s="3" t="str">
        <f>IFERROR(MID(VLOOKUP($B197,Seqs!$A:$B,2,0),AU197,1),"")</f>
        <v>Y</v>
      </c>
      <c r="AU197" s="3">
        <v>397</v>
      </c>
      <c r="AV197" s="3" t="str">
        <f>IFERROR(MID(VLOOKUP($B197,Seqs!$A:$B,2,0),AW197,1),"")</f>
        <v>S</v>
      </c>
      <c r="AW197" s="3">
        <v>401</v>
      </c>
      <c r="AX197" s="3" t="str">
        <f>IFERROR(MID(VLOOKUP($B197,Seqs!$A:$B,2,0),AY197,1),"")</f>
        <v>F</v>
      </c>
      <c r="AY197" s="3">
        <v>412</v>
      </c>
      <c r="AZ197" s="77" t="str">
        <f>VLOOKUP(B197,Classification!A:D,2,0)</f>
        <v>A</v>
      </c>
      <c r="BA197" s="94" t="str">
        <f>VLOOKUP(B197,Classification!A:D,4,0)</f>
        <v>Cannabinoid</v>
      </c>
      <c r="BB197" s="27" t="b">
        <f t="shared" si="1540"/>
        <v>1</v>
      </c>
      <c r="BC197" s="23">
        <f t="shared" si="1541"/>
        <v>240</v>
      </c>
      <c r="BD197" s="2" t="s">
        <v>23</v>
      </c>
      <c r="BE197" s="3" t="s">
        <v>1285</v>
      </c>
      <c r="BF197" s="118">
        <v>2.8</v>
      </c>
      <c r="BG197" s="49" t="s">
        <v>1</v>
      </c>
      <c r="BH197" s="49" t="s">
        <v>1</v>
      </c>
      <c r="BJ197" s="70" t="s">
        <v>1281</v>
      </c>
      <c r="BK197" s="57" t="s">
        <v>1281</v>
      </c>
      <c r="BL197" s="57" t="s">
        <v>1281</v>
      </c>
      <c r="BM197" s="57" t="s">
        <v>1281</v>
      </c>
      <c r="BN197" s="57" t="s">
        <v>1281</v>
      </c>
      <c r="BO197" s="57" t="s">
        <v>1281</v>
      </c>
      <c r="BP197" s="57" t="s">
        <v>1281</v>
      </c>
      <c r="BQ197" s="57" t="s">
        <v>1281</v>
      </c>
      <c r="BR197" s="57" t="s">
        <v>1281</v>
      </c>
      <c r="BS197" s="57" t="s">
        <v>1281</v>
      </c>
      <c r="BT197" s="57" t="s">
        <v>1281</v>
      </c>
      <c r="BU197" s="57" t="s">
        <v>1281</v>
      </c>
      <c r="BV197" s="70">
        <f t="shared" si="1542"/>
        <v>112</v>
      </c>
      <c r="BW197" s="71" t="str">
        <f t="shared" si="1543"/>
        <v>-</v>
      </c>
      <c r="BX197" s="72">
        <f t="shared" si="1544"/>
        <v>153</v>
      </c>
      <c r="BY197" s="71" t="str">
        <f t="shared" si="1545"/>
        <v>-</v>
      </c>
      <c r="BZ197" s="72">
        <f t="shared" si="1546"/>
        <v>185</v>
      </c>
      <c r="CA197" s="71">
        <f t="shared" si="1547"/>
        <v>221</v>
      </c>
      <c r="CB197" s="72">
        <f t="shared" si="1548"/>
        <v>229</v>
      </c>
      <c r="CC197" s="71" t="str">
        <f t="shared" si="1549"/>
        <v>-</v>
      </c>
      <c r="CD197" s="72">
        <f t="shared" si="1550"/>
        <v>272</v>
      </c>
      <c r="CE197" s="71">
        <f t="shared" si="1551"/>
        <v>338</v>
      </c>
      <c r="CF197" s="72">
        <f t="shared" si="1552"/>
        <v>372</v>
      </c>
      <c r="CG197" s="71">
        <f t="shared" si="1553"/>
        <v>401</v>
      </c>
      <c r="CH197" s="70">
        <f t="shared" si="1554"/>
        <v>146</v>
      </c>
      <c r="CI197" s="71" t="str">
        <f t="shared" si="1555"/>
        <v>-</v>
      </c>
      <c r="CJ197" s="72">
        <f t="shared" si="1556"/>
        <v>180</v>
      </c>
      <c r="CK197" s="72" t="str">
        <f t="shared" si="1557"/>
        <v>-</v>
      </c>
      <c r="CL197" s="72">
        <f t="shared" si="1558"/>
        <v>220</v>
      </c>
      <c r="CM197" s="72">
        <f t="shared" si="1559"/>
        <v>228</v>
      </c>
      <c r="CN197" s="72">
        <f t="shared" si="1560"/>
        <v>254</v>
      </c>
      <c r="CO197" s="72" t="str">
        <f t="shared" si="1561"/>
        <v>-</v>
      </c>
      <c r="CP197" s="72">
        <f t="shared" si="1562"/>
        <v>305</v>
      </c>
      <c r="CQ197" s="72">
        <f t="shared" si="1563"/>
        <v>369</v>
      </c>
      <c r="CR197" s="72">
        <f t="shared" si="1564"/>
        <v>397</v>
      </c>
      <c r="CS197" s="72">
        <f t="shared" si="1565"/>
        <v>412</v>
      </c>
      <c r="CT197" s="23" t="e">
        <f t="shared" si="1566"/>
        <v>#VALUE!</v>
      </c>
    </row>
    <row r="198" spans="1:1030" x14ac:dyDescent="0.2">
      <c r="A198" s="3" t="str">
        <f t="shared" si="1539"/>
        <v>cnr1_human_6N4B</v>
      </c>
      <c r="B198" s="3" t="s">
        <v>182</v>
      </c>
      <c r="C198" s="3" t="s">
        <v>1550</v>
      </c>
      <c r="D198" s="3" t="str">
        <f>IFERROR(MID(VLOOKUP($B198,Seqs!$A:$B,2,0),E198,1),"")</f>
        <v>N</v>
      </c>
      <c r="E198" s="3">
        <v>112</v>
      </c>
      <c r="F198" s="3" t="str">
        <f>IFERROR(MID(VLOOKUP($B198,Seqs!$A:$B,2,0),G198,1),"")</f>
        <v>H</v>
      </c>
      <c r="G198" s="3">
        <v>143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Y</v>
      </c>
      <c r="M198" s="3">
        <v>153</v>
      </c>
      <c r="N198" s="3" t="str">
        <f>IFERROR(MID(VLOOKUP($B198,Seqs!$A:$B,2,0),O198,1),"")</f>
        <v>H</v>
      </c>
      <c r="O198" s="3">
        <v>178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S</v>
      </c>
      <c r="U198" s="3">
        <v>185</v>
      </c>
      <c r="V198" s="3" t="str">
        <f>IFERROR(MID(VLOOKUP($B198,Seqs!$A:$B,2,0),W198,1),"")</f>
        <v>R</v>
      </c>
      <c r="W198" s="3">
        <v>220</v>
      </c>
      <c r="X198" s="3" t="str">
        <f>IFERROR(MID(VLOOKUP($B198,Seqs!$A:$B,2,0),Y198,1),"")</f>
        <v>P</v>
      </c>
      <c r="Y198" s="3">
        <v>221</v>
      </c>
      <c r="Z198" s="3" t="str">
        <f>IFERROR(MID(VLOOKUP($B198,Seqs!$A:$B,2,0),AA198,1),"")</f>
        <v>V</v>
      </c>
      <c r="AA198" s="3">
        <v>228</v>
      </c>
      <c r="AB198" s="3" t="str">
        <f>IFERROR(MID(VLOOKUP($B198,Seqs!$A:$B,2,0),AC198,1),"")</f>
        <v>T</v>
      </c>
      <c r="AC198" s="3">
        <v>229</v>
      </c>
      <c r="AD198" s="3" t="str">
        <f>IFERROR(MID(VLOOKUP($B198,Seqs!$A:$B,2,0),AE198,1),"")</f>
        <v>G</v>
      </c>
      <c r="AE198" s="3">
        <v>254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D</v>
      </c>
      <c r="AK198" s="3">
        <v>272</v>
      </c>
      <c r="AL198" s="3" t="str">
        <f>IFERROR(MID(VLOOKUP($B198,Seqs!$A:$B,2,0),AM198,1),"")</f>
        <v>R</v>
      </c>
      <c r="AM198" s="3">
        <v>311</v>
      </c>
      <c r="AN198" s="3" t="str">
        <f>IFERROR(MID(VLOOKUP($B198,Seqs!$A:$B,2,0),AO198,1),"")</f>
        <v>A</v>
      </c>
      <c r="AO198" s="3">
        <v>335</v>
      </c>
      <c r="AP198" s="3" t="str">
        <f>IFERROR(MID(VLOOKUP($B198,Seqs!$A:$B,2,0),AQ198,1),"")</f>
        <v>M</v>
      </c>
      <c r="AQ198" s="3">
        <v>363</v>
      </c>
      <c r="AR198" s="3" t="str">
        <f>IFERROR(MID(VLOOKUP($B198,Seqs!$A:$B,2,0),AS198,1),"")</f>
        <v>L</v>
      </c>
      <c r="AS198" s="3">
        <v>374</v>
      </c>
      <c r="AT198" s="3" t="str">
        <f>IFERROR(MID(VLOOKUP($B198,Seqs!$A:$B,2,0),AU198,1),"")</f>
        <v>R</v>
      </c>
      <c r="AU198" s="3">
        <v>400</v>
      </c>
      <c r="AV198" s="3" t="str">
        <f>IFERROR(MID(VLOOKUP($B198,Seqs!$A:$B,2,0),AW198,1),"")</f>
        <v>S</v>
      </c>
      <c r="AW198" s="3">
        <v>401</v>
      </c>
      <c r="AX198" s="3" t="str">
        <f>IFERROR(MID(VLOOKUP($B198,Seqs!$A:$B,2,0),AY198,1),"")</f>
        <v>M</v>
      </c>
      <c r="AY198" s="3">
        <v>411</v>
      </c>
      <c r="AZ198" s="77" t="str">
        <f>VLOOKUP(B198,Classification!A:D,2,0)</f>
        <v>A</v>
      </c>
      <c r="BA198" s="94" t="str">
        <f>VLOOKUP(B198,Classification!A:D,4,0)</f>
        <v>Cannabinoid</v>
      </c>
      <c r="BB198" s="27" t="b">
        <f t="shared" si="1540"/>
        <v>1</v>
      </c>
      <c r="BC198" s="23">
        <f t="shared" si="1541"/>
        <v>241</v>
      </c>
      <c r="BD198" s="2" t="s">
        <v>1369</v>
      </c>
      <c r="BE198" s="3" t="s">
        <v>1285</v>
      </c>
      <c r="BF198" s="118">
        <v>3</v>
      </c>
      <c r="BG198" s="49" t="s">
        <v>1416</v>
      </c>
      <c r="BH198" s="49" t="s">
        <v>1416</v>
      </c>
      <c r="BJ198" s="70" t="s">
        <v>1281</v>
      </c>
      <c r="BK198" s="57" t="s">
        <v>1281</v>
      </c>
      <c r="BL198" s="57" t="s">
        <v>1281</v>
      </c>
      <c r="BM198" s="57" t="s">
        <v>1281</v>
      </c>
      <c r="BN198" s="57" t="s">
        <v>1281</v>
      </c>
      <c r="BO198" s="57" t="s">
        <v>1281</v>
      </c>
      <c r="BP198" s="57" t="s">
        <v>1281</v>
      </c>
      <c r="BQ198" s="57" t="s">
        <v>1281</v>
      </c>
      <c r="BR198" s="57" t="s">
        <v>1281</v>
      </c>
      <c r="BS198" s="57" t="s">
        <v>1281</v>
      </c>
      <c r="BT198" s="57" t="s">
        <v>1281</v>
      </c>
      <c r="BU198" s="57" t="s">
        <v>1281</v>
      </c>
      <c r="BV198" s="70">
        <f t="shared" si="1542"/>
        <v>112</v>
      </c>
      <c r="BW198" s="71">
        <f t="shared" si="1543"/>
        <v>145</v>
      </c>
      <c r="BX198" s="72">
        <f t="shared" si="1544"/>
        <v>153</v>
      </c>
      <c r="BY198" s="71" t="str">
        <f t="shared" si="1545"/>
        <v>-</v>
      </c>
      <c r="BZ198" s="72">
        <f t="shared" si="1546"/>
        <v>185</v>
      </c>
      <c r="CA198" s="71">
        <f t="shared" si="1547"/>
        <v>221</v>
      </c>
      <c r="CB198" s="72">
        <f t="shared" si="1548"/>
        <v>229</v>
      </c>
      <c r="CC198" s="71" t="str">
        <f t="shared" si="1549"/>
        <v>-</v>
      </c>
      <c r="CD198" s="72">
        <f t="shared" si="1550"/>
        <v>272</v>
      </c>
      <c r="CE198" s="71">
        <f t="shared" si="1551"/>
        <v>335</v>
      </c>
      <c r="CF198" s="72">
        <f t="shared" si="1552"/>
        <v>374</v>
      </c>
      <c r="CG198" s="71">
        <f t="shared" si="1553"/>
        <v>401</v>
      </c>
      <c r="CH198" s="70">
        <f t="shared" si="1554"/>
        <v>143</v>
      </c>
      <c r="CI198" s="71">
        <f t="shared" si="1555"/>
        <v>148</v>
      </c>
      <c r="CJ198" s="72">
        <f t="shared" si="1556"/>
        <v>178</v>
      </c>
      <c r="CK198" s="72" t="str">
        <f t="shared" si="1557"/>
        <v>-</v>
      </c>
      <c r="CL198" s="72">
        <f t="shared" si="1558"/>
        <v>220</v>
      </c>
      <c r="CM198" s="72">
        <f t="shared" si="1559"/>
        <v>228</v>
      </c>
      <c r="CN198" s="72">
        <f t="shared" si="1560"/>
        <v>254</v>
      </c>
      <c r="CO198" s="72" t="str">
        <f t="shared" si="1561"/>
        <v>-</v>
      </c>
      <c r="CP198" s="72">
        <f t="shared" si="1562"/>
        <v>311</v>
      </c>
      <c r="CQ198" s="72">
        <f t="shared" si="1563"/>
        <v>363</v>
      </c>
      <c r="CR198" s="72">
        <f t="shared" si="1564"/>
        <v>400</v>
      </c>
      <c r="CS198" s="72">
        <f t="shared" si="1565"/>
        <v>411</v>
      </c>
      <c r="CT198" s="23">
        <f t="shared" si="1566"/>
        <v>5</v>
      </c>
    </row>
    <row r="199" spans="1:1030" s="12" customFormat="1" x14ac:dyDescent="0.2">
      <c r="A199" s="9" t="str">
        <f t="shared" si="1539"/>
        <v>cnr1_human_6KQI</v>
      </c>
      <c r="B199" s="9" t="s">
        <v>182</v>
      </c>
      <c r="C199" s="9" t="s">
        <v>1587</v>
      </c>
      <c r="D199" s="9" t="str">
        <f>IFERROR(MID(VLOOKUP($B199,Seqs!$A:$B,2,0),E199,1),"")</f>
        <v>N</v>
      </c>
      <c r="E199" s="9">
        <v>112</v>
      </c>
      <c r="F199" s="9" t="str">
        <f>IFERROR(MID(VLOOKUP($B199,Seqs!$A:$B,2,0),G199,1),"")</f>
        <v>S</v>
      </c>
      <c r="G199" s="9">
        <v>144</v>
      </c>
      <c r="H199" s="9" t="str">
        <f>IFERROR(MID(VLOOKUP($B199,Seqs!$A:$B,2,0),I199,1),"")</f>
        <v>R</v>
      </c>
      <c r="I199" s="109">
        <v>145</v>
      </c>
      <c r="J199" s="9" t="str">
        <f>IFERROR(MID(VLOOKUP($B199,Seqs!$A:$B,2,0),K199,1),"")</f>
        <v>R</v>
      </c>
      <c r="K199" s="109">
        <v>148</v>
      </c>
      <c r="L199" s="9" t="str">
        <f>IFERROR(MID(VLOOKUP($B199,Seqs!$A:$B,2,0),M199,1),"")</f>
        <v>Y</v>
      </c>
      <c r="M199" s="9">
        <v>153</v>
      </c>
      <c r="N199" s="9" t="str">
        <f>IFERROR(MID(VLOOKUP($B199,Seqs!$A:$B,2,0),O199,1),"")</f>
        <v>V</v>
      </c>
      <c r="O199" s="9">
        <v>179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185</v>
      </c>
      <c r="V199" s="9" t="str">
        <f>IFERROR(MID(VLOOKUP($B199,Seqs!$A:$B,2,0),W199,1),"")</f>
        <v>R</v>
      </c>
      <c r="W199" s="9">
        <v>220</v>
      </c>
      <c r="X199" s="9" t="str">
        <f>IFERROR(MID(VLOOKUP($B199,Seqs!$A:$B,2,0),Y199,1),"")</f>
        <v>P</v>
      </c>
      <c r="Y199" s="9">
        <v>221</v>
      </c>
      <c r="Z199" s="9" t="str">
        <f>IFERROR(MID(VLOOKUP($B199,Seqs!$A:$B,2,0),AA199,1),"")</f>
        <v>V</v>
      </c>
      <c r="AA199" s="9">
        <v>228</v>
      </c>
      <c r="AB199" s="9"/>
      <c r="AC199" s="9">
        <v>229</v>
      </c>
      <c r="AD199" s="9" t="str">
        <f>IFERROR(MID(VLOOKUP($B199,Seqs!$A:$B,2,0),AE199,1),"")</f>
        <v>L</v>
      </c>
      <c r="AE199" s="9">
        <v>253</v>
      </c>
      <c r="AF199" s="9" t="str">
        <f>IFERROR(MID(VLOOKUP($B199,Seqs!$A:$B,2,0),AG199,1),"")</f>
        <v/>
      </c>
      <c r="AG199" s="9" t="s">
        <v>23</v>
      </c>
      <c r="AH199" s="9" t="str">
        <f>IFERROR(MID(VLOOKUP($B199,Seqs!$A:$B,2,0),AI199,1),"")</f>
        <v/>
      </c>
      <c r="AI199" s="9" t="s">
        <v>23</v>
      </c>
      <c r="AJ199" s="9" t="str">
        <f>IFERROR(MID(VLOOKUP($B199,Seqs!$A:$B,2,0),AK199,1),"")</f>
        <v>D</v>
      </c>
      <c r="AK199" s="9">
        <v>272</v>
      </c>
      <c r="AL199" s="9" t="str">
        <f>IFERROR(MID(VLOOKUP($B199,Seqs!$A:$B,2,0),AM199,1),"")</f>
        <v>A</v>
      </c>
      <c r="AM199" s="9">
        <v>301</v>
      </c>
      <c r="AN199" s="9" t="str">
        <f>IFERROR(MID(VLOOKUP($B199,Seqs!$A:$B,2,0),AO199,1),"")</f>
        <v>D</v>
      </c>
      <c r="AO199" s="9">
        <v>333</v>
      </c>
      <c r="AP199" s="9" t="str">
        <f>IFERROR(MID(VLOOKUP($B199,Seqs!$A:$B,2,0),AQ199,1),"")</f>
        <v>F</v>
      </c>
      <c r="AQ199" s="9">
        <v>368</v>
      </c>
      <c r="AR199" s="9" t="str">
        <f>IFERROR(MID(VLOOKUP($B199,Seqs!$A:$B,2,0),AS199,1),"")</f>
        <v>N</v>
      </c>
      <c r="AS199" s="9">
        <v>372</v>
      </c>
      <c r="AT199" s="9" t="str">
        <f>IFERROR(MID(VLOOKUP($B199,Seqs!$A:$B,2,0),AU199,1),"")</f>
        <v>R</v>
      </c>
      <c r="AU199" s="9">
        <v>400</v>
      </c>
      <c r="AV199" s="9" t="str">
        <f>IFERROR(MID(VLOOKUP($B199,Seqs!$A:$B,2,0),AW199,1),"")</f>
        <v>S</v>
      </c>
      <c r="AW199" s="9">
        <v>401</v>
      </c>
      <c r="AX199" s="9" t="str">
        <f>IFERROR(MID(VLOOKUP($B199,Seqs!$A:$B,2,0),AY199,1),"")</f>
        <v>F</v>
      </c>
      <c r="AY199" s="9">
        <v>412</v>
      </c>
      <c r="AZ199" s="110" t="str">
        <f>VLOOKUP(B199,Classification!A:D,2,0)</f>
        <v>A</v>
      </c>
      <c r="BA199" s="98" t="str">
        <f>VLOOKUP(B199,Classification!A:D,4,0)</f>
        <v>Cannabinoid</v>
      </c>
      <c r="BB199" s="36" t="b">
        <f t="shared" si="1540"/>
        <v>1</v>
      </c>
      <c r="BC199" s="109">
        <f t="shared" si="1541"/>
        <v>242</v>
      </c>
      <c r="BD199" s="40" t="s">
        <v>23</v>
      </c>
      <c r="BE199" s="9" t="s">
        <v>1368</v>
      </c>
      <c r="BF199" s="119">
        <v>3.25</v>
      </c>
      <c r="BG199" s="51" t="s">
        <v>1</v>
      </c>
      <c r="BH199" s="51" t="s">
        <v>1</v>
      </c>
      <c r="BI199" s="9"/>
      <c r="BJ199" s="111" t="s">
        <v>1281</v>
      </c>
      <c r="BK199" s="112" t="s">
        <v>1281</v>
      </c>
      <c r="BL199" s="112" t="s">
        <v>1281</v>
      </c>
      <c r="BM199" s="112" t="s">
        <v>1281</v>
      </c>
      <c r="BN199" s="112" t="s">
        <v>1281</v>
      </c>
      <c r="BO199" s="112" t="s">
        <v>1281</v>
      </c>
      <c r="BP199" s="112" t="s">
        <v>1281</v>
      </c>
      <c r="BQ199" s="112" t="s">
        <v>1281</v>
      </c>
      <c r="BR199" s="112" t="s">
        <v>1281</v>
      </c>
      <c r="BS199" s="112" t="s">
        <v>1281</v>
      </c>
      <c r="BT199" s="112" t="s">
        <v>1281</v>
      </c>
      <c r="BU199" s="112" t="s">
        <v>1281</v>
      </c>
      <c r="BV199" s="111">
        <f t="shared" si="1542"/>
        <v>112</v>
      </c>
      <c r="BW199" s="113">
        <f t="shared" si="1543"/>
        <v>145</v>
      </c>
      <c r="BX199" s="114">
        <f t="shared" si="1544"/>
        <v>153</v>
      </c>
      <c r="BY199" s="113" t="str">
        <f t="shared" si="1545"/>
        <v>-</v>
      </c>
      <c r="BZ199" s="114">
        <f t="shared" si="1546"/>
        <v>185</v>
      </c>
      <c r="CA199" s="113">
        <f t="shared" si="1547"/>
        <v>221</v>
      </c>
      <c r="CB199" s="114">
        <f t="shared" si="1548"/>
        <v>229</v>
      </c>
      <c r="CC199" s="113" t="str">
        <f t="shared" si="1549"/>
        <v>-</v>
      </c>
      <c r="CD199" s="114">
        <f t="shared" si="1550"/>
        <v>272</v>
      </c>
      <c r="CE199" s="113">
        <f t="shared" si="1551"/>
        <v>333</v>
      </c>
      <c r="CF199" s="114">
        <f t="shared" si="1552"/>
        <v>372</v>
      </c>
      <c r="CG199" s="113">
        <f t="shared" si="1553"/>
        <v>401</v>
      </c>
      <c r="CH199" s="111">
        <f t="shared" si="1554"/>
        <v>144</v>
      </c>
      <c r="CI199" s="113">
        <f t="shared" si="1555"/>
        <v>148</v>
      </c>
      <c r="CJ199" s="114">
        <f t="shared" si="1556"/>
        <v>179</v>
      </c>
      <c r="CK199" s="114" t="str">
        <f t="shared" si="1557"/>
        <v>-</v>
      </c>
      <c r="CL199" s="114">
        <f t="shared" si="1558"/>
        <v>220</v>
      </c>
      <c r="CM199" s="114">
        <f t="shared" si="1559"/>
        <v>228</v>
      </c>
      <c r="CN199" s="114">
        <f t="shared" si="1560"/>
        <v>253</v>
      </c>
      <c r="CO199" s="114" t="str">
        <f t="shared" si="1561"/>
        <v>-</v>
      </c>
      <c r="CP199" s="114">
        <f t="shared" si="1562"/>
        <v>301</v>
      </c>
      <c r="CQ199" s="114">
        <f t="shared" si="1563"/>
        <v>368</v>
      </c>
      <c r="CR199" s="114">
        <f t="shared" si="1564"/>
        <v>400</v>
      </c>
      <c r="CS199" s="114">
        <f t="shared" si="1565"/>
        <v>412</v>
      </c>
      <c r="CT199" s="109">
        <f t="shared" si="1566"/>
        <v>5</v>
      </c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  <c r="AMK199" s="9"/>
      <c r="AML199" s="9"/>
      <c r="AMM199" s="9"/>
      <c r="AMN199" s="9"/>
      <c r="AMO199" s="9"/>
    </row>
    <row r="200" spans="1:1030" s="12" customFormat="1" x14ac:dyDescent="0.2">
      <c r="A200" s="9" t="str">
        <f t="shared" ref="A200" si="1567">CONCATENATE(B200,"_",C200)</f>
        <v>cnr1_human_6KPG</v>
      </c>
      <c r="B200" s="9" t="s">
        <v>182</v>
      </c>
      <c r="C200" s="9" t="s">
        <v>1660</v>
      </c>
      <c r="D200" s="9" t="str">
        <f>IFERROR(MID(VLOOKUP($B200,Seqs!$A:$B,2,0),E200,1),"")</f>
        <v>Q</v>
      </c>
      <c r="E200" s="9">
        <v>115</v>
      </c>
      <c r="F200" s="9" t="str">
        <f>IFERROR(MID(VLOOKUP($B200,Seqs!$A:$B,2,0),G200,1),"")</f>
        <v>S</v>
      </c>
      <c r="G200" s="9">
        <v>144</v>
      </c>
      <c r="H200" s="9" t="str">
        <f>IFERROR(MID(VLOOKUP($B200,Seqs!$A:$B,2,0),I200,1),"")</f>
        <v>R</v>
      </c>
      <c r="I200" s="109">
        <v>145</v>
      </c>
      <c r="J200" s="9" t="str">
        <f>IFERROR(MID(VLOOKUP($B200,Seqs!$A:$B,2,0),K200,1),"")</f>
        <v>R</v>
      </c>
      <c r="K200" s="109">
        <v>148</v>
      </c>
      <c r="L200" s="9" t="str">
        <f>IFERROR(MID(VLOOKUP($B200,Seqs!$A:$B,2,0),M200,1),"")</f>
        <v>R</v>
      </c>
      <c r="M200" s="9">
        <v>150</v>
      </c>
      <c r="N200" s="9" t="str">
        <f>IFERROR(MID(VLOOKUP($B200,Seqs!$A:$B,2,0),O200,1),"")</f>
        <v>H</v>
      </c>
      <c r="O200" s="9">
        <v>178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F</v>
      </c>
      <c r="U200" s="9">
        <v>189</v>
      </c>
      <c r="V200" s="9" t="str">
        <f>IFERROR(MID(VLOOKUP($B200,Seqs!$A:$B,2,0),W200,1),"")</f>
        <v>R</v>
      </c>
      <c r="W200" s="9">
        <v>220</v>
      </c>
      <c r="X200" s="9" t="str">
        <f>IFERROR(MID(VLOOKUP($B200,Seqs!$A:$B,2,0),Y200,1),"")</f>
        <v>P</v>
      </c>
      <c r="Y200" s="9">
        <v>221</v>
      </c>
      <c r="Z200" s="9" t="str">
        <f>IFERROR(MID(VLOOKUP($B200,Seqs!$A:$B,2,0),AA200,1),"")</f>
        <v>V</v>
      </c>
      <c r="AA200" s="9">
        <v>228</v>
      </c>
      <c r="AB200" s="9"/>
      <c r="AC200" s="9">
        <v>229</v>
      </c>
      <c r="AD200" s="9" t="str">
        <f>IFERROR(MID(VLOOKUP($B200,Seqs!$A:$B,2,0),AE200,1),"")</f>
        <v>L</v>
      </c>
      <c r="AE200" s="9">
        <v>253</v>
      </c>
      <c r="AF200" s="9" t="str">
        <f>IFERROR(MID(VLOOKUP($B200,Seqs!$A:$B,2,0),AG200,1),"")</f>
        <v/>
      </c>
      <c r="AG200" s="9" t="s">
        <v>23</v>
      </c>
      <c r="AH200" s="9" t="str">
        <f>IFERROR(MID(VLOOKUP($B200,Seqs!$A:$B,2,0),AI200,1),"")</f>
        <v/>
      </c>
      <c r="AI200" s="9" t="s">
        <v>23</v>
      </c>
      <c r="AJ200" s="9" t="str">
        <f>IFERROR(MID(VLOOKUP($B200,Seqs!$A:$B,2,0),AK200,1),"")</f>
        <v>Y</v>
      </c>
      <c r="AK200" s="9">
        <v>275</v>
      </c>
      <c r="AL200" s="9" t="str">
        <f>IFERROR(MID(VLOOKUP($B200,Seqs!$A:$B,2,0),AM200,1),"")</f>
        <v>G</v>
      </c>
      <c r="AM200" s="9">
        <v>312</v>
      </c>
      <c r="AN200" s="9" t="str">
        <f>IFERROR(MID(VLOOKUP($B200,Seqs!$A:$B,2,0),AO200,1),"")</f>
        <v>M</v>
      </c>
      <c r="AO200" s="9">
        <v>337</v>
      </c>
      <c r="AP200" s="9" t="str">
        <f>IFERROR(MID(VLOOKUP($B200,Seqs!$A:$B,2,0),AQ200,1),"")</f>
        <v>Y</v>
      </c>
      <c r="AQ200" s="9">
        <v>365</v>
      </c>
      <c r="AR200" s="9" t="str">
        <f>IFERROR(MID(VLOOKUP($B200,Seqs!$A:$B,2,0),AS200,1),"")</f>
        <v>N</v>
      </c>
      <c r="AS200" s="9">
        <v>372</v>
      </c>
      <c r="AT200" s="9" t="str">
        <f>IFERROR(MID(VLOOKUP($B200,Seqs!$A:$B,2,0),AU200,1),"")</f>
        <v>R</v>
      </c>
      <c r="AU200" s="9">
        <v>400</v>
      </c>
      <c r="AV200" s="9" t="str">
        <f>IFERROR(MID(VLOOKUP($B200,Seqs!$A:$B,2,0),AW200,1),"")</f>
        <v>S</v>
      </c>
      <c r="AW200" s="9">
        <v>401</v>
      </c>
      <c r="AX200" s="9" t="str">
        <f>IFERROR(MID(VLOOKUP($B200,Seqs!$A:$B,2,0),AY200,1),"")</f>
        <v>M</v>
      </c>
      <c r="AY200" s="9">
        <v>411</v>
      </c>
      <c r="AZ200" s="110" t="str">
        <f>VLOOKUP(B200,Classification!A:D,2,0)</f>
        <v>A</v>
      </c>
      <c r="BA200" s="98" t="str">
        <f>VLOOKUP(B200,Classification!A:D,4,0)</f>
        <v>Cannabinoid</v>
      </c>
      <c r="BB200" s="36" t="b">
        <f t="shared" ref="BB200" si="1568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" si="1569">_xlfn.AGGREGATE(9,6,CH200:CS200)-_xlfn.AGGREGATE(9,6,BV200:CG200)+12</f>
        <v>237</v>
      </c>
      <c r="BD200" s="40" t="s">
        <v>23</v>
      </c>
      <c r="BE200" s="9" t="s">
        <v>1285</v>
      </c>
      <c r="BF200" s="119">
        <v>3</v>
      </c>
      <c r="BG200" s="51" t="s">
        <v>1416</v>
      </c>
      <c r="BH200" s="51" t="s">
        <v>1416</v>
      </c>
      <c r="BI200" s="9"/>
      <c r="BJ200" s="111" t="s">
        <v>1281</v>
      </c>
      <c r="BK200" s="112" t="s">
        <v>1281</v>
      </c>
      <c r="BL200" s="112" t="s">
        <v>1281</v>
      </c>
      <c r="BM200" s="112" t="s">
        <v>1281</v>
      </c>
      <c r="BN200" s="112" t="s">
        <v>1281</v>
      </c>
      <c r="BO200" s="112" t="s">
        <v>1281</v>
      </c>
      <c r="BP200" s="112" t="s">
        <v>1281</v>
      </c>
      <c r="BQ200" s="112" t="s">
        <v>1281</v>
      </c>
      <c r="BR200" s="112" t="s">
        <v>1281</v>
      </c>
      <c r="BS200" s="112" t="s">
        <v>1281</v>
      </c>
      <c r="BT200" s="112" t="s">
        <v>1281</v>
      </c>
      <c r="BU200" s="112" t="s">
        <v>1281</v>
      </c>
      <c r="BV200" s="111">
        <f t="shared" ref="BV200" si="1570">E200</f>
        <v>115</v>
      </c>
      <c r="BW200" s="113">
        <f t="shared" ref="BW200" si="1571">I200</f>
        <v>145</v>
      </c>
      <c r="BX200" s="114">
        <f t="shared" ref="BX200" si="1572">M200</f>
        <v>150</v>
      </c>
      <c r="BY200" s="113" t="str">
        <f t="shared" ref="BY200" si="1573">Q200</f>
        <v>-</v>
      </c>
      <c r="BZ200" s="114">
        <f t="shared" ref="BZ200" si="1574">U200</f>
        <v>189</v>
      </c>
      <c r="CA200" s="113">
        <f t="shared" ref="CA200" si="1575">Y200</f>
        <v>221</v>
      </c>
      <c r="CB200" s="114">
        <f t="shared" ref="CB200" si="1576">AC200</f>
        <v>229</v>
      </c>
      <c r="CC200" s="113" t="str">
        <f t="shared" ref="CC200" si="1577">AG200</f>
        <v>-</v>
      </c>
      <c r="CD200" s="114">
        <f t="shared" ref="CD200" si="1578">AK200</f>
        <v>275</v>
      </c>
      <c r="CE200" s="113">
        <f t="shared" ref="CE200" si="1579">AO200</f>
        <v>337</v>
      </c>
      <c r="CF200" s="114">
        <f t="shared" ref="CF200" si="1580">AS200</f>
        <v>372</v>
      </c>
      <c r="CG200" s="113">
        <f t="shared" ref="CG200" si="1581">AW200</f>
        <v>401</v>
      </c>
      <c r="CH200" s="111">
        <f t="shared" ref="CH200" si="1582">G200</f>
        <v>144</v>
      </c>
      <c r="CI200" s="113">
        <f t="shared" ref="CI200" si="1583">K200</f>
        <v>148</v>
      </c>
      <c r="CJ200" s="114">
        <f t="shared" ref="CJ200" si="1584">O200</f>
        <v>178</v>
      </c>
      <c r="CK200" s="114" t="str">
        <f t="shared" ref="CK200" si="1585">S200</f>
        <v>-</v>
      </c>
      <c r="CL200" s="114">
        <f t="shared" ref="CL200" si="1586">W200</f>
        <v>220</v>
      </c>
      <c r="CM200" s="114">
        <f t="shared" ref="CM200" si="1587">AA200</f>
        <v>228</v>
      </c>
      <c r="CN200" s="114">
        <f t="shared" ref="CN200" si="1588">AE200</f>
        <v>253</v>
      </c>
      <c r="CO200" s="114" t="str">
        <f t="shared" ref="CO200" si="1589">AI200</f>
        <v>-</v>
      </c>
      <c r="CP200" s="114">
        <f t="shared" ref="CP200" si="1590">AM200</f>
        <v>312</v>
      </c>
      <c r="CQ200" s="114">
        <f t="shared" ref="CQ200" si="1591">AQ200</f>
        <v>365</v>
      </c>
      <c r="CR200" s="114">
        <f t="shared" ref="CR200" si="1592">AU200</f>
        <v>400</v>
      </c>
      <c r="CS200" s="114">
        <f t="shared" ref="CS200" si="1593">AY200</f>
        <v>411</v>
      </c>
      <c r="CT200" s="109">
        <f t="shared" ref="CT200" si="1594">M200-K200</f>
        <v>2</v>
      </c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  <c r="AMK200" s="9"/>
      <c r="AML200" s="9"/>
      <c r="AMM200" s="9"/>
      <c r="AMN200" s="9"/>
      <c r="AMO200" s="9"/>
    </row>
    <row r="201" spans="1:1030" x14ac:dyDescent="0.2">
      <c r="A201" s="3" t="str">
        <f t="shared" si="1539"/>
        <v>cnr2_human__wt</v>
      </c>
      <c r="B201" s="3" t="s">
        <v>183</v>
      </c>
      <c r="C201" s="3" t="s">
        <v>100</v>
      </c>
      <c r="D201" s="3" t="str">
        <f>IFERROR(MID(VLOOKUP($B201,Seqs!$A:$B,2,0),E201,1),"")</f>
        <v>S</v>
      </c>
      <c r="E201" s="3">
        <v>29</v>
      </c>
      <c r="F201" s="3" t="str">
        <f>IFERROR(MID(VLOOKUP($B201,Seqs!$A:$B,2,0),G201,1),"")</f>
        <v>S</v>
      </c>
      <c r="G201" s="3">
        <v>61</v>
      </c>
      <c r="H201" s="3" t="str">
        <f>IFERROR(MID(VLOOKUP($B201,Seqs!$A:$B,2,0),I201,1),"")</f>
        <v>H</v>
      </c>
      <c r="I201" s="23">
        <v>62</v>
      </c>
      <c r="J201" s="3" t="str">
        <f>IFERROR(MID(VLOOKUP($B201,Seqs!$A:$B,2,0),K201,1),"")</f>
        <v>R</v>
      </c>
      <c r="K201" s="23">
        <v>65</v>
      </c>
      <c r="L201" s="3" t="str">
        <f>IFERROR(MID(VLOOKUP($B201,Seqs!$A:$B,2,0),M201,1),"")</f>
        <v>K</v>
      </c>
      <c r="M201" s="3">
        <v>67</v>
      </c>
      <c r="N201" s="3" t="str">
        <f>IFERROR(MID(VLOOKUP($B201,Seqs!$A:$B,2,0),O201,1),"")</f>
        <v>V</v>
      </c>
      <c r="O201" s="3">
        <v>96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102</v>
      </c>
      <c r="V201" s="3" t="str">
        <f>IFERROR(MID(VLOOKUP($B201,Seqs!$A:$B,2,0),W201,1),"")</f>
        <v>Y</v>
      </c>
      <c r="W201" s="3">
        <v>137</v>
      </c>
      <c r="X201" s="3" t="str">
        <f>IFERROR(MID(VLOOKUP($B201,Seqs!$A:$B,2,0),Y201,1),"")</f>
        <v>P</v>
      </c>
      <c r="Y201" s="3">
        <v>138</v>
      </c>
      <c r="Z201" s="3" t="str">
        <f>IFERROR(MID(VLOOKUP($B201,Seqs!$A:$B,2,0),AA201,1),"")</f>
        <v>L</v>
      </c>
      <c r="AA201" s="3">
        <v>145</v>
      </c>
      <c r="AB201" s="3" t="str">
        <f>IFERROR(MID(VLOOKUP($B201,Seqs!$A:$B,2,0),AC201,1),"")</f>
        <v>T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/>
      </c>
      <c r="AG201" s="3" t="s">
        <v>23</v>
      </c>
      <c r="AH201" s="3" t="str">
        <f>IFERROR(MID(VLOOKUP($B201,Seqs!$A:$B,2,0),AI201,1),"")</f>
        <v/>
      </c>
      <c r="AI201" s="3" t="s">
        <v>23</v>
      </c>
      <c r="AJ201" s="3" t="str">
        <f>IFERROR(MID(VLOOKUP($B201,Seqs!$A:$B,2,0),AK201,1),"")</f>
        <v>P</v>
      </c>
      <c r="AK201" s="3">
        <v>187</v>
      </c>
      <c r="AL201" s="3" t="str">
        <f>IFERROR(MID(VLOOKUP($B201,Seqs!$A:$B,2,0),AM201,1),"")</f>
        <v>G</v>
      </c>
      <c r="AM201" s="3">
        <v>225</v>
      </c>
      <c r="AN201" s="3" t="str">
        <f>IFERROR(MID(VLOOKUP($B201,Seqs!$A:$B,2,0),AO201,1),"")</f>
        <v>R</v>
      </c>
      <c r="AO201" s="105">
        <v>238</v>
      </c>
      <c r="AP201" s="3" t="str">
        <f>IFERROR(MID(VLOOKUP($B201,Seqs!$A:$B,2,0),AQ201,1),"")</f>
        <v>T</v>
      </c>
      <c r="AQ201" s="3">
        <v>271</v>
      </c>
      <c r="AR201" s="3" t="str">
        <f>IFERROR(MID(VLOOKUP($B201,Seqs!$A:$B,2,0),AS201,1),"")</f>
        <v>S</v>
      </c>
      <c r="AS201" s="3">
        <v>274</v>
      </c>
      <c r="AT201" s="3" t="str">
        <f>IFERROR(MID(VLOOKUP($B201,Seqs!$A:$B,2,0),AU201,1),"")</f>
        <v>R</v>
      </c>
      <c r="AU201" s="3">
        <v>302</v>
      </c>
      <c r="AV201" s="3" t="str">
        <f>IFERROR(MID(VLOOKUP($B201,Seqs!$A:$B,2,0),AW201,1),"")</f>
        <v>S</v>
      </c>
      <c r="AW201" s="3">
        <v>303</v>
      </c>
      <c r="AX201" s="3" t="str">
        <f>IFERROR(MID(VLOOKUP($B201,Seqs!$A:$B,2,0),AY201,1),"")</f>
        <v>K</v>
      </c>
      <c r="AY201" s="3">
        <v>319</v>
      </c>
      <c r="AZ201" s="77" t="str">
        <f>VLOOKUP(B201,Classification!A:D,2,0)</f>
        <v>A</v>
      </c>
      <c r="BA201" s="94" t="str">
        <f>VLOOKUP(B201,Classification!A:D,4,0)</f>
        <v>Cannabinoid</v>
      </c>
      <c r="BB201" s="27" t="b">
        <f t="shared" si="1540"/>
        <v>1</v>
      </c>
      <c r="BC201" s="23">
        <f t="shared" si="1541"/>
        <v>258</v>
      </c>
      <c r="BD201" s="2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J201" s="70" t="s">
        <v>1281</v>
      </c>
      <c r="BK201" s="57" t="s">
        <v>1281</v>
      </c>
      <c r="BL201" s="57" t="s">
        <v>1281</v>
      </c>
      <c r="BM201" s="57" t="s">
        <v>1281</v>
      </c>
      <c r="BN201" s="57" t="s">
        <v>1281</v>
      </c>
      <c r="BO201" s="57" t="s">
        <v>1281</v>
      </c>
      <c r="BP201" s="57" t="s">
        <v>1281</v>
      </c>
      <c r="BQ201" s="57" t="s">
        <v>1281</v>
      </c>
      <c r="BR201" s="57" t="s">
        <v>1281</v>
      </c>
      <c r="BS201" s="57" t="s">
        <v>1281</v>
      </c>
      <c r="BT201" s="57" t="s">
        <v>1281</v>
      </c>
      <c r="BU201" s="57" t="s">
        <v>1281</v>
      </c>
      <c r="BV201" s="70">
        <f t="shared" si="1542"/>
        <v>29</v>
      </c>
      <c r="BW201" s="71">
        <f t="shared" si="1543"/>
        <v>62</v>
      </c>
      <c r="BX201" s="72">
        <f t="shared" si="1544"/>
        <v>67</v>
      </c>
      <c r="BY201" s="71" t="str">
        <f t="shared" si="1545"/>
        <v>-</v>
      </c>
      <c r="BZ201" s="72">
        <f t="shared" si="1546"/>
        <v>102</v>
      </c>
      <c r="CA201" s="71">
        <f t="shared" si="1547"/>
        <v>138</v>
      </c>
      <c r="CB201" s="72">
        <f t="shared" si="1548"/>
        <v>146</v>
      </c>
      <c r="CC201" s="71" t="str">
        <f t="shared" si="1549"/>
        <v>-</v>
      </c>
      <c r="CD201" s="72">
        <f t="shared" si="1550"/>
        <v>187</v>
      </c>
      <c r="CE201" s="71">
        <f t="shared" si="1551"/>
        <v>238</v>
      </c>
      <c r="CF201" s="72">
        <f t="shared" si="1552"/>
        <v>274</v>
      </c>
      <c r="CG201" s="71">
        <f t="shared" si="1553"/>
        <v>303</v>
      </c>
      <c r="CH201" s="70">
        <f t="shared" si="1554"/>
        <v>61</v>
      </c>
      <c r="CI201" s="71">
        <f t="shared" si="1555"/>
        <v>65</v>
      </c>
      <c r="CJ201" s="72">
        <f t="shared" si="1556"/>
        <v>96</v>
      </c>
      <c r="CK201" s="72" t="str">
        <f t="shared" si="1557"/>
        <v>-</v>
      </c>
      <c r="CL201" s="72">
        <f t="shared" si="1558"/>
        <v>137</v>
      </c>
      <c r="CM201" s="72">
        <f t="shared" si="1559"/>
        <v>145</v>
      </c>
      <c r="CN201" s="72">
        <f t="shared" si="1560"/>
        <v>171</v>
      </c>
      <c r="CO201" s="72" t="str">
        <f t="shared" si="1561"/>
        <v>-</v>
      </c>
      <c r="CP201" s="72">
        <f t="shared" si="1562"/>
        <v>225</v>
      </c>
      <c r="CQ201" s="72">
        <f t="shared" si="1563"/>
        <v>271</v>
      </c>
      <c r="CR201" s="72">
        <f t="shared" si="1564"/>
        <v>302</v>
      </c>
      <c r="CS201" s="72">
        <f t="shared" si="1565"/>
        <v>319</v>
      </c>
      <c r="CT201" s="23">
        <f t="shared" si="1566"/>
        <v>2</v>
      </c>
    </row>
    <row r="202" spans="1:1030" x14ac:dyDescent="0.2">
      <c r="A202" s="3" t="str">
        <f t="shared" si="1539"/>
        <v>cnr2_human_5ZTY</v>
      </c>
      <c r="B202" s="3" t="s">
        <v>183</v>
      </c>
      <c r="C202" s="3" t="s">
        <v>1551</v>
      </c>
      <c r="D202" s="3" t="str">
        <f>IFERROR(MID(VLOOKUP($B202,Seqs!$A:$B,2,0),E202,1),"")</f>
        <v>S</v>
      </c>
      <c r="E202" s="3">
        <v>29</v>
      </c>
      <c r="F202" s="3" t="str">
        <f>IFERROR(MID(VLOOKUP($B202,Seqs!$A:$B,2,0),G202,1),"")</f>
        <v>S</v>
      </c>
      <c r="G202" s="3">
        <v>61</v>
      </c>
      <c r="H202" s="3" t="str">
        <f>IFERROR(MID(VLOOKUP($B202,Seqs!$A:$B,2,0),I202,1),"")</f>
        <v>H</v>
      </c>
      <c r="I202" s="23">
        <v>62</v>
      </c>
      <c r="J202" s="3" t="str">
        <f>IFERROR(MID(VLOOKUP($B202,Seqs!$A:$B,2,0),K202,1),"")</f>
        <v>R</v>
      </c>
      <c r="K202" s="23">
        <v>65</v>
      </c>
      <c r="L202" s="3" t="str">
        <f>IFERROR(MID(VLOOKUP($B202,Seqs!$A:$B,2,0),M202,1),"")</f>
        <v>K</v>
      </c>
      <c r="M202" s="3">
        <v>67</v>
      </c>
      <c r="N202" s="3" t="str">
        <f>IFERROR(MID(VLOOKUP($B202,Seqs!$A:$B,2,0),O202,1),"")</f>
        <v>V</v>
      </c>
      <c r="O202" s="3">
        <v>96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102</v>
      </c>
      <c r="V202" s="3" t="str">
        <f>IFERROR(MID(VLOOKUP($B202,Seqs!$A:$B,2,0),W202,1),"")</f>
        <v>Y</v>
      </c>
      <c r="W202" s="3">
        <v>137</v>
      </c>
      <c r="X202" s="3" t="str">
        <f>IFERROR(MID(VLOOKUP($B202,Seqs!$A:$B,2,0),Y202,1),"")</f>
        <v>P</v>
      </c>
      <c r="Y202" s="3">
        <v>138</v>
      </c>
      <c r="Z202" s="3" t="str">
        <f>IFERROR(MID(VLOOKUP($B202,Seqs!$A:$B,2,0),AA202,1),"")</f>
        <v>L</v>
      </c>
      <c r="AA202" s="3">
        <v>145</v>
      </c>
      <c r="AB202" s="3" t="str">
        <f>IFERROR(MID(VLOOKUP($B202,Seqs!$A:$B,2,0),AC202,1),"")</f>
        <v>T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/>
      </c>
      <c r="AG202" s="3" t="s">
        <v>23</v>
      </c>
      <c r="AH202" s="3" t="str">
        <f>IFERROR(MID(VLOOKUP($B202,Seqs!$A:$B,2,0),AI202,1),"")</f>
        <v/>
      </c>
      <c r="AI202" s="3" t="s">
        <v>23</v>
      </c>
      <c r="AJ202" s="3" t="str">
        <f>IFERROR(MID(VLOOKUP($B202,Seqs!$A:$B,2,0),AK202,1),"")</f>
        <v>P</v>
      </c>
      <c r="AK202" s="3">
        <v>187</v>
      </c>
      <c r="AL202" s="3" t="str">
        <f>IFERROR(MID(VLOOKUP($B202,Seqs!$A:$B,2,0),AM202,1),"")</f>
        <v>V</v>
      </c>
      <c r="AM202" s="3">
        <v>220</v>
      </c>
      <c r="AN202" s="3" t="str">
        <f>IFERROR(MID(VLOOKUP($B202,Seqs!$A:$B,2,0),AO202,1),"")</f>
        <v>M</v>
      </c>
      <c r="AO202" s="3">
        <v>237</v>
      </c>
      <c r="AP202" s="3" t="str">
        <f>IFERROR(MID(VLOOKUP($B202,Seqs!$A:$B,2,0),AQ202,1),"")</f>
        <v>T</v>
      </c>
      <c r="AQ202" s="3">
        <v>271</v>
      </c>
      <c r="AR202" s="3" t="str">
        <f>IFERROR(MID(VLOOKUP($B202,Seqs!$A:$B,2,0),AS202,1),"")</f>
        <v>S</v>
      </c>
      <c r="AS202" s="3">
        <v>274</v>
      </c>
      <c r="AT202" s="3" t="str">
        <f>IFERROR(MID(VLOOKUP($B202,Seqs!$A:$B,2,0),AU202,1),"")</f>
        <v>R</v>
      </c>
      <c r="AU202" s="3">
        <v>302</v>
      </c>
      <c r="AV202" s="3" t="str">
        <f>IFERROR(MID(VLOOKUP($B202,Seqs!$A:$B,2,0),AW202,1),"")</f>
        <v>S</v>
      </c>
      <c r="AW202" s="3">
        <v>303</v>
      </c>
      <c r="AX202" s="3" t="str">
        <f>IFERROR(MID(VLOOKUP($B202,Seqs!$A:$B,2,0),AY202,1),"")</f>
        <v>K</v>
      </c>
      <c r="AY202" s="3">
        <v>319</v>
      </c>
      <c r="AZ202" s="77" t="str">
        <f>VLOOKUP(B202,Classification!A:D,2,0)</f>
        <v>A</v>
      </c>
      <c r="BA202" s="94" t="str">
        <f>VLOOKUP(B202,Classification!A:D,4,0)</f>
        <v>Cannabinoid</v>
      </c>
      <c r="BB202" s="27" t="b">
        <f t="shared" si="1540"/>
        <v>1</v>
      </c>
      <c r="BC202" s="23">
        <f t="shared" si="1541"/>
        <v>254</v>
      </c>
      <c r="BD202" s="2" t="s">
        <v>1370</v>
      </c>
      <c r="BE202" s="3" t="s">
        <v>1368</v>
      </c>
      <c r="BF202" s="118">
        <v>2.8</v>
      </c>
      <c r="BG202" s="49" t="s">
        <v>1</v>
      </c>
      <c r="BH202" s="49" t="s">
        <v>1</v>
      </c>
      <c r="BJ202" s="70" t="s">
        <v>1281</v>
      </c>
      <c r="BK202" s="57" t="s">
        <v>1281</v>
      </c>
      <c r="BL202" s="57" t="s">
        <v>1281</v>
      </c>
      <c r="BM202" s="57" t="s">
        <v>1281</v>
      </c>
      <c r="BN202" s="57" t="s">
        <v>1281</v>
      </c>
      <c r="BO202" s="57" t="s">
        <v>1281</v>
      </c>
      <c r="BP202" s="57" t="s">
        <v>1281</v>
      </c>
      <c r="BQ202" s="57" t="s">
        <v>1281</v>
      </c>
      <c r="BR202" s="57" t="s">
        <v>1281</v>
      </c>
      <c r="BS202" s="57" t="s">
        <v>1281</v>
      </c>
      <c r="BT202" s="57" t="s">
        <v>1281</v>
      </c>
      <c r="BU202" s="57" t="s">
        <v>1281</v>
      </c>
      <c r="BV202" s="70">
        <f t="shared" si="1542"/>
        <v>29</v>
      </c>
      <c r="BW202" s="71">
        <f t="shared" si="1543"/>
        <v>62</v>
      </c>
      <c r="BX202" s="72">
        <f t="shared" si="1544"/>
        <v>67</v>
      </c>
      <c r="BY202" s="71" t="str">
        <f t="shared" si="1545"/>
        <v>-</v>
      </c>
      <c r="BZ202" s="72">
        <f t="shared" si="1546"/>
        <v>102</v>
      </c>
      <c r="CA202" s="71">
        <f t="shared" si="1547"/>
        <v>138</v>
      </c>
      <c r="CB202" s="72">
        <f t="shared" si="1548"/>
        <v>146</v>
      </c>
      <c r="CC202" s="71" t="str">
        <f t="shared" si="1549"/>
        <v>-</v>
      </c>
      <c r="CD202" s="72">
        <f t="shared" si="1550"/>
        <v>187</v>
      </c>
      <c r="CE202" s="71">
        <f t="shared" si="1551"/>
        <v>237</v>
      </c>
      <c r="CF202" s="72">
        <f t="shared" si="1552"/>
        <v>274</v>
      </c>
      <c r="CG202" s="71">
        <f t="shared" si="1553"/>
        <v>303</v>
      </c>
      <c r="CH202" s="70">
        <f t="shared" si="1554"/>
        <v>61</v>
      </c>
      <c r="CI202" s="71">
        <f t="shared" si="1555"/>
        <v>65</v>
      </c>
      <c r="CJ202" s="72">
        <f t="shared" si="1556"/>
        <v>96</v>
      </c>
      <c r="CK202" s="72" t="str">
        <f t="shared" si="1557"/>
        <v>-</v>
      </c>
      <c r="CL202" s="72">
        <f t="shared" si="1558"/>
        <v>137</v>
      </c>
      <c r="CM202" s="72">
        <f t="shared" si="1559"/>
        <v>145</v>
      </c>
      <c r="CN202" s="72">
        <f t="shared" si="1560"/>
        <v>171</v>
      </c>
      <c r="CO202" s="72" t="str">
        <f t="shared" si="1561"/>
        <v>-</v>
      </c>
      <c r="CP202" s="72">
        <f t="shared" si="1562"/>
        <v>220</v>
      </c>
      <c r="CQ202" s="72">
        <f t="shared" si="1563"/>
        <v>271</v>
      </c>
      <c r="CR202" s="72">
        <f t="shared" si="1564"/>
        <v>302</v>
      </c>
      <c r="CS202" s="72">
        <f t="shared" si="1565"/>
        <v>319</v>
      </c>
      <c r="CT202" s="23">
        <f t="shared" si="1566"/>
        <v>2</v>
      </c>
    </row>
    <row r="203" spans="1:1030" s="12" customFormat="1" x14ac:dyDescent="0.2">
      <c r="A203" s="9" t="str">
        <f t="shared" ref="A203" si="1595">CONCATENATE(B203,"_",C203)</f>
        <v>cnr2_human_6KPC</v>
      </c>
      <c r="B203" s="9" t="s">
        <v>183</v>
      </c>
      <c r="C203" s="9" t="s">
        <v>1643</v>
      </c>
      <c r="D203" s="9" t="str">
        <f>IFERROR(MID(VLOOKUP($B203,Seqs!$A:$B,2,0),E203,1),"")</f>
        <v>S</v>
      </c>
      <c r="E203" s="9">
        <v>29</v>
      </c>
      <c r="F203" s="9" t="str">
        <f>IFERROR(MID(VLOOKUP($B203,Seqs!$A:$B,2,0),G203,1),"")</f>
        <v>S</v>
      </c>
      <c r="G203" s="9">
        <v>61</v>
      </c>
      <c r="H203" s="9" t="str">
        <f>IFERROR(MID(VLOOKUP($B203,Seqs!$A:$B,2,0),I203,1),"")</f>
        <v>H</v>
      </c>
      <c r="I203" s="109">
        <v>62</v>
      </c>
      <c r="J203" s="9" t="str">
        <f>IFERROR(MID(VLOOKUP($B203,Seqs!$A:$B,2,0),K203,1),"")</f>
        <v>R</v>
      </c>
      <c r="K203" s="109">
        <v>65</v>
      </c>
      <c r="L203" s="9" t="str">
        <f>IFERROR(MID(VLOOKUP($B203,Seqs!$A:$B,2,0),M203,1),"")</f>
        <v>P</v>
      </c>
      <c r="M203" s="9">
        <v>68</v>
      </c>
      <c r="N203" s="9" t="str">
        <f>IFERROR(MID(VLOOKUP($B203,Seqs!$A:$B,2,0),O203,1),"")</f>
        <v>H</v>
      </c>
      <c r="O203" s="9">
        <v>95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S</v>
      </c>
      <c r="U203" s="9">
        <v>102</v>
      </c>
      <c r="V203" s="9" t="str">
        <f>IFERROR(MID(VLOOKUP($B203,Seqs!$A:$B,2,0),W203,1),"")</f>
        <v>Y</v>
      </c>
      <c r="W203" s="9">
        <v>137</v>
      </c>
      <c r="X203" s="9" t="str">
        <f>IFERROR(MID(VLOOKUP($B203,Seqs!$A:$B,2,0),Y203,1),"")</f>
        <v>P</v>
      </c>
      <c r="Y203" s="9">
        <v>138</v>
      </c>
      <c r="Z203" s="9" t="str">
        <f>IFERROR(MID(VLOOKUP($B203,Seqs!$A:$B,2,0),AA203,1),"")</f>
        <v>L</v>
      </c>
      <c r="AA203" s="9">
        <v>145</v>
      </c>
      <c r="AB203" s="9" t="str">
        <f>IFERROR(MID(VLOOKUP($B203,Seqs!$A:$B,2,0),AC203,1),"")</f>
        <v>T</v>
      </c>
      <c r="AC203" s="9">
        <v>146</v>
      </c>
      <c r="AD203" s="9" t="str">
        <f>IFERROR(MID(VLOOKUP($B203,Seqs!$A:$B,2,0),AE203,1),"")</f>
        <v>M</v>
      </c>
      <c r="AE203" s="9">
        <v>170</v>
      </c>
      <c r="AF203" s="9" t="str">
        <f>IFERROR(MID(VLOOKUP($B203,Seqs!$A:$B,2,0),AG203,1),"")</f>
        <v/>
      </c>
      <c r="AG203" s="9" t="s">
        <v>23</v>
      </c>
      <c r="AH203" s="9" t="str">
        <f>IFERROR(MID(VLOOKUP($B203,Seqs!$A:$B,2,0),AI203,1),"")</f>
        <v/>
      </c>
      <c r="AI203" s="9" t="s">
        <v>23</v>
      </c>
      <c r="AJ203" s="9" t="str">
        <f>IFERROR(MID(VLOOKUP($B203,Seqs!$A:$B,2,0),AK203,1),"")</f>
        <v>P</v>
      </c>
      <c r="AK203" s="9">
        <v>187</v>
      </c>
      <c r="AL203" s="9" t="str">
        <f>IFERROR(MID(VLOOKUP($B203,Seqs!$A:$B,2,0),AM203,1),"")</f>
        <v>V</v>
      </c>
      <c r="AM203" s="9">
        <v>220</v>
      </c>
      <c r="AN203" s="9" t="str">
        <f>IFERROR(MID(VLOOKUP($B203,Seqs!$A:$B,2,0),AO203,1),"")</f>
        <v>M</v>
      </c>
      <c r="AO203" s="9">
        <v>237</v>
      </c>
      <c r="AP203" s="9" t="str">
        <f>IFERROR(MID(VLOOKUP($B203,Seqs!$A:$B,2,0),AQ203,1),"")</f>
        <v>T</v>
      </c>
      <c r="AQ203" s="9">
        <v>271</v>
      </c>
      <c r="AR203" s="9" t="str">
        <f>IFERROR(MID(VLOOKUP($B203,Seqs!$A:$B,2,0),AS203,1),"")</f>
        <v>S</v>
      </c>
      <c r="AS203" s="9">
        <v>274</v>
      </c>
      <c r="AT203" s="9" t="str">
        <f>IFERROR(MID(VLOOKUP($B203,Seqs!$A:$B,2,0),AU203,1),"")</f>
        <v>R</v>
      </c>
      <c r="AU203" s="9">
        <v>302</v>
      </c>
      <c r="AV203" s="9" t="str">
        <f>IFERROR(MID(VLOOKUP($B203,Seqs!$A:$B,2,0),AW203,1),"")</f>
        <v>S</v>
      </c>
      <c r="AW203" s="9">
        <v>303</v>
      </c>
      <c r="AX203" s="9" t="str">
        <f>IFERROR(MID(VLOOKUP($B203,Seqs!$A:$B,2,0),AY203,1),"")</f>
        <v>H</v>
      </c>
      <c r="AY203" s="9">
        <v>312</v>
      </c>
      <c r="AZ203" s="110" t="str">
        <f>VLOOKUP(B203,Classification!A:D,2,0)</f>
        <v>A</v>
      </c>
      <c r="BA203" s="98" t="str">
        <f>VLOOKUP(B203,Classification!A:D,4,0)</f>
        <v>Cannabinoid</v>
      </c>
      <c r="BB203" s="36" t="b">
        <f t="shared" ref="BB203" si="1596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597">_xlfn.AGGREGATE(9,6,CH203:CS203)-_xlfn.AGGREGATE(9,6,BV203:CG203)+12</f>
        <v>244</v>
      </c>
      <c r="BD203" s="40" t="s">
        <v>23</v>
      </c>
      <c r="BE203" s="9" t="s">
        <v>1368</v>
      </c>
      <c r="BF203" s="119">
        <v>3.2</v>
      </c>
      <c r="BG203" s="51" t="s">
        <v>1</v>
      </c>
      <c r="BH203" s="51" t="s">
        <v>1</v>
      </c>
      <c r="BI203" s="9"/>
      <c r="BJ203" s="111" t="s">
        <v>1281</v>
      </c>
      <c r="BK203" s="112" t="s">
        <v>1281</v>
      </c>
      <c r="BL203" s="112" t="s">
        <v>1281</v>
      </c>
      <c r="BM203" s="112" t="s">
        <v>1281</v>
      </c>
      <c r="BN203" s="112" t="s">
        <v>1281</v>
      </c>
      <c r="BO203" s="112" t="s">
        <v>1281</v>
      </c>
      <c r="BP203" s="112" t="s">
        <v>1281</v>
      </c>
      <c r="BQ203" s="112" t="s">
        <v>1281</v>
      </c>
      <c r="BR203" s="112" t="s">
        <v>1281</v>
      </c>
      <c r="BS203" s="112" t="s">
        <v>1281</v>
      </c>
      <c r="BT203" s="112" t="s">
        <v>1281</v>
      </c>
      <c r="BU203" s="112" t="s">
        <v>1281</v>
      </c>
      <c r="BV203" s="111">
        <f t="shared" ref="BV203" si="1598">E203</f>
        <v>29</v>
      </c>
      <c r="BW203" s="113">
        <f t="shared" ref="BW203" si="1599">I203</f>
        <v>62</v>
      </c>
      <c r="BX203" s="114">
        <f t="shared" ref="BX203" si="1600">M203</f>
        <v>68</v>
      </c>
      <c r="BY203" s="113" t="str">
        <f t="shared" ref="BY203" si="1601">Q203</f>
        <v>-</v>
      </c>
      <c r="BZ203" s="114">
        <f t="shared" ref="BZ203" si="1602">U203</f>
        <v>102</v>
      </c>
      <c r="CA203" s="113">
        <f t="shared" ref="CA203" si="1603">Y203</f>
        <v>138</v>
      </c>
      <c r="CB203" s="114">
        <f t="shared" ref="CB203" si="1604">AC203</f>
        <v>146</v>
      </c>
      <c r="CC203" s="113" t="str">
        <f t="shared" ref="CC203" si="1605">AG203</f>
        <v>-</v>
      </c>
      <c r="CD203" s="114">
        <f t="shared" ref="CD203" si="1606">AK203</f>
        <v>187</v>
      </c>
      <c r="CE203" s="113">
        <f t="shared" ref="CE203" si="1607">AO203</f>
        <v>237</v>
      </c>
      <c r="CF203" s="114">
        <f t="shared" ref="CF203" si="1608">AS203</f>
        <v>274</v>
      </c>
      <c r="CG203" s="113">
        <f t="shared" ref="CG203" si="1609">AW203</f>
        <v>303</v>
      </c>
      <c r="CH203" s="111">
        <f t="shared" ref="CH203" si="1610">G203</f>
        <v>61</v>
      </c>
      <c r="CI203" s="113">
        <f t="shared" ref="CI203" si="1611">K203</f>
        <v>65</v>
      </c>
      <c r="CJ203" s="114">
        <f t="shared" ref="CJ203" si="1612">O203</f>
        <v>95</v>
      </c>
      <c r="CK203" s="114" t="str">
        <f t="shared" ref="CK203" si="1613">S203</f>
        <v>-</v>
      </c>
      <c r="CL203" s="114">
        <f t="shared" ref="CL203" si="1614">W203</f>
        <v>137</v>
      </c>
      <c r="CM203" s="114">
        <f t="shared" ref="CM203" si="1615">AA203</f>
        <v>145</v>
      </c>
      <c r="CN203" s="114">
        <f t="shared" ref="CN203" si="1616">AE203</f>
        <v>170</v>
      </c>
      <c r="CO203" s="114" t="str">
        <f t="shared" ref="CO203" si="1617">AI203</f>
        <v>-</v>
      </c>
      <c r="CP203" s="114">
        <f t="shared" ref="CP203" si="1618">AM203</f>
        <v>220</v>
      </c>
      <c r="CQ203" s="114">
        <f t="shared" ref="CQ203" si="1619">AQ203</f>
        <v>271</v>
      </c>
      <c r="CR203" s="114">
        <f t="shared" ref="CR203" si="1620">AU203</f>
        <v>302</v>
      </c>
      <c r="CS203" s="114">
        <f t="shared" ref="CS203" si="1621">AY203</f>
        <v>312</v>
      </c>
      <c r="CT203" s="109">
        <f t="shared" ref="CT203" si="1622">M203-K203</f>
        <v>3</v>
      </c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</row>
    <row r="204" spans="1:1030" s="12" customFormat="1" x14ac:dyDescent="0.2">
      <c r="A204" s="9" t="str">
        <f t="shared" ref="A204" si="1623">CONCATENATE(B204,"_",C204)</f>
        <v>cnr2_human_6KPF</v>
      </c>
      <c r="B204" s="9" t="s">
        <v>183</v>
      </c>
      <c r="C204" s="9" t="s">
        <v>1644</v>
      </c>
      <c r="D204" s="9" t="str">
        <f>IFERROR(MID(VLOOKUP($B204,Seqs!$A:$B,2,0),E204,1),"")</f>
        <v>S</v>
      </c>
      <c r="E204" s="9">
        <v>29</v>
      </c>
      <c r="F204" s="9" t="str">
        <f>IFERROR(MID(VLOOKUP($B204,Seqs!$A:$B,2,0),G204,1),"")</f>
        <v>S</v>
      </c>
      <c r="G204" s="9">
        <v>60</v>
      </c>
      <c r="H204" s="9" t="str">
        <f>IFERROR(MID(VLOOKUP($B204,Seqs!$A:$B,2,0),I204,1),"")</f>
        <v>H</v>
      </c>
      <c r="I204" s="109">
        <v>62</v>
      </c>
      <c r="J204" s="9" t="str">
        <f>IFERROR(MID(VLOOKUP($B204,Seqs!$A:$B,2,0),K204,1),"")</f>
        <v>R</v>
      </c>
      <c r="K204" s="109">
        <v>65</v>
      </c>
      <c r="L204" s="9" t="str">
        <f>IFERROR(MID(VLOOKUP($B204,Seqs!$A:$B,2,0),M204,1),"")</f>
        <v>K</v>
      </c>
      <c r="M204" s="9">
        <v>67</v>
      </c>
      <c r="N204" s="9" t="str">
        <f>IFERROR(MID(VLOOKUP($B204,Seqs!$A:$B,2,0),O204,1),"")</f>
        <v>H</v>
      </c>
      <c r="O204" s="9">
        <v>95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V</v>
      </c>
      <c r="U204" s="9">
        <v>105</v>
      </c>
      <c r="V204" s="9" t="str">
        <f>IFERROR(MID(VLOOKUP($B204,Seqs!$A:$B,2,0),W204,1),"")</f>
        <v>R</v>
      </c>
      <c r="W204" s="9">
        <v>136</v>
      </c>
      <c r="X204" s="9" t="str">
        <f>IFERROR(MID(VLOOKUP($B204,Seqs!$A:$B,2,0),Y204,1),"")</f>
        <v>P</v>
      </c>
      <c r="Y204" s="9">
        <v>138</v>
      </c>
      <c r="Z204" s="9" t="str">
        <f>IFERROR(MID(VLOOKUP($B204,Seqs!$A:$B,2,0),AA204,1),"")</f>
        <v>L</v>
      </c>
      <c r="AA204" s="9">
        <v>145</v>
      </c>
      <c r="AB204" s="9" t="str">
        <f>IFERROR(MID(VLOOKUP($B204,Seqs!$A:$B,2,0),AC204,1),"")</f>
        <v>T</v>
      </c>
      <c r="AC204" s="9">
        <v>146</v>
      </c>
      <c r="AD204" s="9" t="str">
        <f>IFERROR(MID(VLOOKUP($B204,Seqs!$A:$B,2,0),AE204,1),"")</f>
        <v>Y</v>
      </c>
      <c r="AE204" s="9">
        <v>166</v>
      </c>
      <c r="AF204" s="9" t="str">
        <f>IFERROR(MID(VLOOKUP($B204,Seqs!$A:$B,2,0),AG204,1),"")</f>
        <v/>
      </c>
      <c r="AG204" s="9" t="s">
        <v>23</v>
      </c>
      <c r="AH204" s="9" t="str">
        <f>IFERROR(MID(VLOOKUP($B204,Seqs!$A:$B,2,0),AI204,1),"")</f>
        <v/>
      </c>
      <c r="AI204" s="9" t="s">
        <v>23</v>
      </c>
      <c r="AJ204" s="9" t="str">
        <f>IFERROR(MID(VLOOKUP($B204,Seqs!$A:$B,2,0),AK204,1),"")</f>
        <v>P</v>
      </c>
      <c r="AK204" s="9">
        <v>187</v>
      </c>
      <c r="AL204" s="9" t="str">
        <f>IFERROR(MID(VLOOKUP($B204,Seqs!$A:$B,2,0),AM204,1),"")</f>
        <v>H</v>
      </c>
      <c r="AM204" s="9">
        <v>226</v>
      </c>
      <c r="AN204" s="9" t="str">
        <f>IFERROR(MID(VLOOKUP($B204,Seqs!$A:$B,2,0),AO204,1),"")</f>
        <v>R</v>
      </c>
      <c r="AO204" s="9">
        <v>238</v>
      </c>
      <c r="AP204" s="9" t="str">
        <f>IFERROR(MID(VLOOKUP($B204,Seqs!$A:$B,2,0),AQ204,1),"")</f>
        <v>A</v>
      </c>
      <c r="AQ204" s="9">
        <v>266</v>
      </c>
      <c r="AR204" s="9" t="str">
        <f>IFERROR(MID(VLOOKUP($B204,Seqs!$A:$B,2,0),AS204,1),"")</f>
        <v>D</v>
      </c>
      <c r="AS204" s="9">
        <v>275</v>
      </c>
      <c r="AT204" s="9" t="str">
        <f>IFERROR(MID(VLOOKUP($B204,Seqs!$A:$B,2,0),AU204,1),"")</f>
        <v>R</v>
      </c>
      <c r="AU204" s="9">
        <v>302</v>
      </c>
      <c r="AV204" s="9" t="str">
        <f>IFERROR(MID(VLOOKUP($B204,Seqs!$A:$B,2,0),AW204,1),"")</f>
        <v>S</v>
      </c>
      <c r="AW204" s="9">
        <v>303</v>
      </c>
      <c r="AX204" s="9" t="str">
        <f>IFERROR(MID(VLOOKUP($B204,Seqs!$A:$B,2,0),AY204,1),"")</f>
        <v>C</v>
      </c>
      <c r="AY204" s="9">
        <v>313</v>
      </c>
      <c r="AZ204" s="110" t="str">
        <f>VLOOKUP(B204,Classification!A:D,2,0)</f>
        <v>A</v>
      </c>
      <c r="BA204" s="98" t="str">
        <f>VLOOKUP(B204,Classification!A:D,4,0)</f>
        <v>Cannabinoid</v>
      </c>
      <c r="BB204" s="36" t="b">
        <f t="shared" ref="BB204" si="162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625">_xlfn.AGGREGATE(9,6,CH204:CS204)-_xlfn.AGGREGATE(9,6,BV204:CG204)+12</f>
        <v>236</v>
      </c>
      <c r="BD204" s="40" t="s">
        <v>23</v>
      </c>
      <c r="BE204" s="9" t="s">
        <v>1285</v>
      </c>
      <c r="BF204" s="119">
        <v>2.9</v>
      </c>
      <c r="BG204" s="51" t="s">
        <v>1416</v>
      </c>
      <c r="BH204" s="51" t="s">
        <v>1416</v>
      </c>
      <c r="BI204" s="9"/>
      <c r="BJ204" s="111" t="s">
        <v>1281</v>
      </c>
      <c r="BK204" s="112" t="s">
        <v>1281</v>
      </c>
      <c r="BL204" s="112" t="s">
        <v>1281</v>
      </c>
      <c r="BM204" s="112" t="s">
        <v>1281</v>
      </c>
      <c r="BN204" s="112" t="s">
        <v>1281</v>
      </c>
      <c r="BO204" s="112" t="s">
        <v>1281</v>
      </c>
      <c r="BP204" s="112" t="s">
        <v>1281</v>
      </c>
      <c r="BQ204" s="112" t="s">
        <v>1281</v>
      </c>
      <c r="BR204" s="112" t="s">
        <v>1281</v>
      </c>
      <c r="BS204" s="112" t="s">
        <v>1281</v>
      </c>
      <c r="BT204" s="112" t="s">
        <v>1281</v>
      </c>
      <c r="BU204" s="112" t="s">
        <v>1281</v>
      </c>
      <c r="BV204" s="111">
        <f t="shared" ref="BV204" si="1626">E204</f>
        <v>29</v>
      </c>
      <c r="BW204" s="113">
        <f t="shared" ref="BW204" si="1627">I204</f>
        <v>62</v>
      </c>
      <c r="BX204" s="114">
        <f t="shared" ref="BX204" si="1628">M204</f>
        <v>67</v>
      </c>
      <c r="BY204" s="113" t="str">
        <f t="shared" ref="BY204" si="1629">Q204</f>
        <v>-</v>
      </c>
      <c r="BZ204" s="114">
        <f t="shared" ref="BZ204" si="1630">U204</f>
        <v>105</v>
      </c>
      <c r="CA204" s="113">
        <f t="shared" ref="CA204" si="1631">Y204</f>
        <v>138</v>
      </c>
      <c r="CB204" s="114">
        <f t="shared" ref="CB204" si="1632">AC204</f>
        <v>146</v>
      </c>
      <c r="CC204" s="113" t="str">
        <f t="shared" ref="CC204" si="1633">AG204</f>
        <v>-</v>
      </c>
      <c r="CD204" s="114">
        <f t="shared" ref="CD204" si="1634">AK204</f>
        <v>187</v>
      </c>
      <c r="CE204" s="113">
        <f t="shared" ref="CE204" si="1635">AO204</f>
        <v>238</v>
      </c>
      <c r="CF204" s="114">
        <f t="shared" ref="CF204" si="1636">AS204</f>
        <v>275</v>
      </c>
      <c r="CG204" s="113">
        <f t="shared" ref="CG204" si="1637">AW204</f>
        <v>303</v>
      </c>
      <c r="CH204" s="111">
        <f t="shared" ref="CH204" si="1638">G204</f>
        <v>60</v>
      </c>
      <c r="CI204" s="113">
        <f t="shared" ref="CI204" si="1639">K204</f>
        <v>65</v>
      </c>
      <c r="CJ204" s="114">
        <f t="shared" ref="CJ204" si="1640">O204</f>
        <v>95</v>
      </c>
      <c r="CK204" s="114" t="str">
        <f t="shared" ref="CK204" si="1641">S204</f>
        <v>-</v>
      </c>
      <c r="CL204" s="114">
        <f t="shared" ref="CL204" si="1642">W204</f>
        <v>136</v>
      </c>
      <c r="CM204" s="114">
        <f t="shared" ref="CM204" si="1643">AA204</f>
        <v>145</v>
      </c>
      <c r="CN204" s="114">
        <f t="shared" ref="CN204" si="1644">AE204</f>
        <v>166</v>
      </c>
      <c r="CO204" s="114" t="str">
        <f t="shared" ref="CO204" si="1645">AI204</f>
        <v>-</v>
      </c>
      <c r="CP204" s="114">
        <f t="shared" ref="CP204" si="1646">AM204</f>
        <v>226</v>
      </c>
      <c r="CQ204" s="114">
        <f t="shared" ref="CQ204" si="1647">AQ204</f>
        <v>266</v>
      </c>
      <c r="CR204" s="114">
        <f t="shared" ref="CR204" si="1648">AU204</f>
        <v>302</v>
      </c>
      <c r="CS204" s="114">
        <f t="shared" ref="CS204" si="1649">AY204</f>
        <v>313</v>
      </c>
      <c r="CT204" s="109">
        <f t="shared" ref="CT204" si="1650">M204-K204</f>
        <v>2</v>
      </c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</row>
    <row r="205" spans="1:1030" s="12" customFormat="1" x14ac:dyDescent="0.2">
      <c r="A205" s="9" t="str">
        <f t="shared" ref="A205" si="1651">CONCATENATE(B205,"_",C205)</f>
        <v>cnr2_human_6PT0</v>
      </c>
      <c r="B205" s="9" t="s">
        <v>183</v>
      </c>
      <c r="C205" s="9" t="s">
        <v>1645</v>
      </c>
      <c r="D205" s="9" t="str">
        <f>IFERROR(MID(VLOOKUP($B205,Seqs!$A:$B,2,0),E205,1),"")</f>
        <v>S</v>
      </c>
      <c r="E205" s="9">
        <v>29</v>
      </c>
      <c r="F205" s="9" t="str">
        <f>IFERROR(MID(VLOOKUP($B205,Seqs!$A:$B,2,0),G205,1),"")</f>
        <v>S</v>
      </c>
      <c r="G205" s="9">
        <v>60</v>
      </c>
      <c r="H205" s="9" t="str">
        <f>IFERROR(MID(VLOOKUP($B205,Seqs!$A:$B,2,0),I205,1),"")</f>
        <v>H</v>
      </c>
      <c r="I205" s="109">
        <v>62</v>
      </c>
      <c r="J205" s="9" t="str">
        <f>IFERROR(MID(VLOOKUP($B205,Seqs!$A:$B,2,0),K205,1),"")</f>
        <v>R</v>
      </c>
      <c r="K205" s="109">
        <v>65</v>
      </c>
      <c r="L205" s="9" t="str">
        <f>IFERROR(MID(VLOOKUP($B205,Seqs!$A:$B,2,0),M205,1),"")</f>
        <v>K</v>
      </c>
      <c r="M205" s="9">
        <v>67</v>
      </c>
      <c r="N205" s="9" t="str">
        <f>IFERROR(MID(VLOOKUP($B205,Seqs!$A:$B,2,0),O205,1),"")</f>
        <v>V</v>
      </c>
      <c r="O205" s="9">
        <v>96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S</v>
      </c>
      <c r="U205" s="9">
        <v>102</v>
      </c>
      <c r="V205" s="9" t="str">
        <f>IFERROR(MID(VLOOKUP($B205,Seqs!$A:$B,2,0),W205,1),"")</f>
        <v>Y</v>
      </c>
      <c r="W205" s="9">
        <v>137</v>
      </c>
      <c r="X205" s="9" t="str">
        <f>IFERROR(MID(VLOOKUP($B205,Seqs!$A:$B,2,0),Y205,1),"")</f>
        <v>P</v>
      </c>
      <c r="Y205" s="9">
        <v>138</v>
      </c>
      <c r="Z205" s="9" t="str">
        <f>IFERROR(MID(VLOOKUP($B205,Seqs!$A:$B,2,0),AA205,1),"")</f>
        <v>L</v>
      </c>
      <c r="AA205" s="9">
        <v>145</v>
      </c>
      <c r="AB205" s="9" t="str">
        <f>IFERROR(MID(VLOOKUP($B205,Seqs!$A:$B,2,0),AC205,1),"")</f>
        <v>T</v>
      </c>
      <c r="AC205" s="9">
        <v>146</v>
      </c>
      <c r="AD205" s="9" t="str">
        <f>IFERROR(MID(VLOOKUP($B205,Seqs!$A:$B,2,0),AE205,1),"")</f>
        <v>G</v>
      </c>
      <c r="AE205" s="9">
        <v>171</v>
      </c>
      <c r="AF205" s="9" t="str">
        <f>IFERROR(MID(VLOOKUP($B205,Seqs!$A:$B,2,0),AG205,1),"")</f>
        <v/>
      </c>
      <c r="AG205" s="9" t="s">
        <v>23</v>
      </c>
      <c r="AH205" s="9" t="str">
        <f>IFERROR(MID(VLOOKUP($B205,Seqs!$A:$B,2,0),AI205,1),"")</f>
        <v/>
      </c>
      <c r="AI205" s="9" t="s">
        <v>23</v>
      </c>
      <c r="AJ205" s="9" t="str">
        <f>IFERROR(MID(VLOOKUP($B205,Seqs!$A:$B,2,0),AK205,1),"")</f>
        <v>P</v>
      </c>
      <c r="AK205" s="9">
        <v>187</v>
      </c>
      <c r="AL205" s="9" t="str">
        <f>IFERROR(MID(VLOOKUP($B205,Seqs!$A:$B,2,0),AM205,1),"")</f>
        <v>G</v>
      </c>
      <c r="AM205" s="9">
        <v>225</v>
      </c>
      <c r="AN205" s="9" t="str">
        <f>IFERROR(MID(VLOOKUP($B205,Seqs!$A:$B,2,0),AO205,1),"")</f>
        <v>R</v>
      </c>
      <c r="AO205" s="9">
        <v>238</v>
      </c>
      <c r="AP205" s="9" t="str">
        <f>IFERROR(MID(VLOOKUP($B205,Seqs!$A:$B,2,0),AQ205,1),"")</f>
        <v>T</v>
      </c>
      <c r="AQ205" s="9">
        <v>271</v>
      </c>
      <c r="AR205" s="9" t="str">
        <f>IFERROR(MID(VLOOKUP($B205,Seqs!$A:$B,2,0),AS205,1),"")</f>
        <v>S</v>
      </c>
      <c r="AS205" s="9">
        <v>274</v>
      </c>
      <c r="AT205" s="9" t="str">
        <f>IFERROR(MID(VLOOKUP($B205,Seqs!$A:$B,2,0),AU205,1),"")</f>
        <v>R</v>
      </c>
      <c r="AU205" s="9">
        <v>302</v>
      </c>
      <c r="AV205" s="9" t="str">
        <f>IFERROR(MID(VLOOKUP($B205,Seqs!$A:$B,2,0),AW205,1),"")</f>
        <v>S</v>
      </c>
      <c r="AW205" s="9">
        <v>303</v>
      </c>
      <c r="AX205" s="9" t="str">
        <f>IFERROR(MID(VLOOKUP($B205,Seqs!$A:$B,2,0),AY205,1),"")</f>
        <v>K</v>
      </c>
      <c r="AY205" s="9">
        <v>319</v>
      </c>
      <c r="AZ205" s="110" t="str">
        <f>VLOOKUP(B205,Classification!A:D,2,0)</f>
        <v>A</v>
      </c>
      <c r="BA205" s="98" t="str">
        <f>VLOOKUP(B205,Classification!A:D,4,0)</f>
        <v>Cannabinoid</v>
      </c>
      <c r="BB205" s="36" t="b">
        <f t="shared" ref="BB205" si="1652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653">_xlfn.AGGREGATE(9,6,CH205:CS205)-_xlfn.AGGREGATE(9,6,BV205:CG205)+12</f>
        <v>257</v>
      </c>
      <c r="BD205" s="40" t="s">
        <v>1369</v>
      </c>
      <c r="BE205" s="9" t="s">
        <v>1285</v>
      </c>
      <c r="BF205" s="119">
        <v>3.2</v>
      </c>
      <c r="BG205" s="51" t="s">
        <v>1416</v>
      </c>
      <c r="BH205" s="51" t="s">
        <v>1416</v>
      </c>
      <c r="BI205" s="9"/>
      <c r="BJ205" s="111" t="s">
        <v>1281</v>
      </c>
      <c r="BK205" s="112" t="s">
        <v>1281</v>
      </c>
      <c r="BL205" s="112" t="s">
        <v>1281</v>
      </c>
      <c r="BM205" s="112" t="s">
        <v>1281</v>
      </c>
      <c r="BN205" s="112" t="s">
        <v>1281</v>
      </c>
      <c r="BO205" s="112" t="s">
        <v>1281</v>
      </c>
      <c r="BP205" s="112" t="s">
        <v>1281</v>
      </c>
      <c r="BQ205" s="112" t="s">
        <v>1281</v>
      </c>
      <c r="BR205" s="112" t="s">
        <v>1281</v>
      </c>
      <c r="BS205" s="112" t="s">
        <v>1281</v>
      </c>
      <c r="BT205" s="112" t="s">
        <v>1281</v>
      </c>
      <c r="BU205" s="112" t="s">
        <v>1281</v>
      </c>
      <c r="BV205" s="111">
        <f t="shared" ref="BV205" si="1654">E205</f>
        <v>29</v>
      </c>
      <c r="BW205" s="113">
        <f t="shared" ref="BW205" si="1655">I205</f>
        <v>62</v>
      </c>
      <c r="BX205" s="114">
        <f t="shared" ref="BX205" si="1656">M205</f>
        <v>67</v>
      </c>
      <c r="BY205" s="113" t="str">
        <f t="shared" ref="BY205" si="1657">Q205</f>
        <v>-</v>
      </c>
      <c r="BZ205" s="114">
        <f t="shared" ref="BZ205" si="1658">U205</f>
        <v>102</v>
      </c>
      <c r="CA205" s="113">
        <f t="shared" ref="CA205" si="1659">Y205</f>
        <v>138</v>
      </c>
      <c r="CB205" s="114">
        <f t="shared" ref="CB205" si="1660">AC205</f>
        <v>146</v>
      </c>
      <c r="CC205" s="113" t="str">
        <f t="shared" ref="CC205" si="1661">AG205</f>
        <v>-</v>
      </c>
      <c r="CD205" s="114">
        <f t="shared" ref="CD205" si="1662">AK205</f>
        <v>187</v>
      </c>
      <c r="CE205" s="113">
        <f t="shared" ref="CE205" si="1663">AO205</f>
        <v>238</v>
      </c>
      <c r="CF205" s="114">
        <f t="shared" ref="CF205" si="1664">AS205</f>
        <v>274</v>
      </c>
      <c r="CG205" s="113">
        <f t="shared" ref="CG205" si="1665">AW205</f>
        <v>303</v>
      </c>
      <c r="CH205" s="111">
        <f t="shared" ref="CH205" si="1666">G205</f>
        <v>60</v>
      </c>
      <c r="CI205" s="113">
        <f t="shared" ref="CI205" si="1667">K205</f>
        <v>65</v>
      </c>
      <c r="CJ205" s="114">
        <f t="shared" ref="CJ205" si="1668">O205</f>
        <v>96</v>
      </c>
      <c r="CK205" s="114" t="str">
        <f t="shared" ref="CK205" si="1669">S205</f>
        <v>-</v>
      </c>
      <c r="CL205" s="114">
        <f t="shared" ref="CL205" si="1670">W205</f>
        <v>137</v>
      </c>
      <c r="CM205" s="114">
        <f t="shared" ref="CM205" si="1671">AA205</f>
        <v>145</v>
      </c>
      <c r="CN205" s="114">
        <f t="shared" ref="CN205" si="1672">AE205</f>
        <v>171</v>
      </c>
      <c r="CO205" s="114" t="str">
        <f t="shared" ref="CO205" si="1673">AI205</f>
        <v>-</v>
      </c>
      <c r="CP205" s="114">
        <f t="shared" ref="CP205" si="1674">AM205</f>
        <v>225</v>
      </c>
      <c r="CQ205" s="114">
        <f t="shared" ref="CQ205" si="1675">AQ205</f>
        <v>271</v>
      </c>
      <c r="CR205" s="114">
        <f t="shared" ref="CR205" si="1676">AU205</f>
        <v>302</v>
      </c>
      <c r="CS205" s="114">
        <f t="shared" ref="CS205" si="1677">AY205</f>
        <v>319</v>
      </c>
      <c r="CT205" s="109">
        <f t="shared" ref="CT205" si="1678">M205-K205</f>
        <v>2</v>
      </c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  <c r="AMK205" s="9"/>
      <c r="AML205" s="9"/>
      <c r="AMM205" s="9"/>
      <c r="AMN205" s="9"/>
      <c r="AMO205" s="9"/>
    </row>
    <row r="206" spans="1:1030" x14ac:dyDescent="0.2">
      <c r="A206" s="3" t="str">
        <f t="shared" si="1007"/>
        <v>cxcr4_human__wt</v>
      </c>
      <c r="B206" s="3" t="s">
        <v>1165</v>
      </c>
      <c r="C206" s="3" t="s">
        <v>100</v>
      </c>
      <c r="D206" s="3" t="str">
        <f>IFERROR(MID(VLOOKUP($B206,Seqs!$A:$B,2,0),E206,1),"")</f>
        <v>R</v>
      </c>
      <c r="E206" s="3">
        <v>30</v>
      </c>
      <c r="F206" s="3" t="str">
        <f>IFERROR(MID(VLOOKUP($B206,Seqs!$A:$B,2,0),G206,1),"")</f>
        <v>Q</v>
      </c>
      <c r="G206" s="3">
        <v>66</v>
      </c>
      <c r="H206" s="3" t="str">
        <f>IFERROR(MID(VLOOKUP($B206,Seqs!$A:$B,2,0),I206,1),"")</f>
        <v>K</v>
      </c>
      <c r="I206" s="23">
        <v>67</v>
      </c>
      <c r="J206" s="3" t="str">
        <f>IFERROR(MID(VLOOKUP($B206,Seqs!$A:$B,2,0),K206,1),"")</f>
        <v>R</v>
      </c>
      <c r="K206" s="23">
        <v>70</v>
      </c>
      <c r="L206" s="3" t="str">
        <f>IFERROR(MID(VLOOKUP($B206,Seqs!$A:$B,2,0),M206,1),"")</f>
        <v>S</v>
      </c>
      <c r="M206" s="3">
        <v>71</v>
      </c>
      <c r="N206" s="3" t="str">
        <f>IFERROR(MID(VLOOKUP($B206,Seqs!$A:$B,2,0),O206,1),"")</f>
        <v>A</v>
      </c>
      <c r="O206" s="3">
        <v>100</v>
      </c>
      <c r="P206" s="3" t="str">
        <f>IFERROR(MID(VLOOKUP($B206,Seqs!$A:$B,2,0),Q206,1),"")</f>
        <v>N</v>
      </c>
      <c r="Q206" s="3">
        <v>101</v>
      </c>
      <c r="R206" s="3" t="str">
        <f>IFERROR(MID(VLOOKUP($B206,Seqs!$A:$B,2,0),S206,1),"")</f>
        <v>F</v>
      </c>
      <c r="S206" s="3">
        <v>104</v>
      </c>
      <c r="T206" s="3" t="str">
        <f>IFERROR(MID(VLOOKUP($B206,Seqs!$A:$B,2,0),U206,1),"")</f>
        <v>G</v>
      </c>
      <c r="U206" s="3">
        <v>105</v>
      </c>
      <c r="V206" s="3" t="str">
        <f>IFERROR(MID(VLOOKUP($B206,Seqs!$A:$B,2,0),W206,1),"")</f>
        <v>H</v>
      </c>
      <c r="W206" s="3">
        <v>140</v>
      </c>
      <c r="X206" s="3" t="str">
        <f>IFERROR(MID(VLOOKUP($B206,Seqs!$A:$B,2,0),Y206,1),"")</f>
        <v>A</v>
      </c>
      <c r="Y206" s="3">
        <v>141</v>
      </c>
      <c r="Z206" s="3" t="str">
        <f>IFERROR(MID(VLOOKUP($B206,Seqs!$A:$B,2,0),AA206,1),"")</f>
        <v>R</v>
      </c>
      <c r="AA206" s="3">
        <v>148</v>
      </c>
      <c r="AB206" s="3" t="str">
        <f>IFERROR(MID(VLOOKUP($B206,Seqs!$A:$B,2,0),AC206,1),"")</f>
        <v>K</v>
      </c>
      <c r="AC206" s="9">
        <v>149</v>
      </c>
      <c r="AD206" s="3" t="str">
        <f>IFERROR(MID(VLOOKUP($B206,Seqs!$A:$B,2,0),AE206,1),"")</f>
        <v>A</v>
      </c>
      <c r="AE206" s="3">
        <v>175</v>
      </c>
      <c r="AF206" s="3" t="str">
        <f>IFERROR(MID(VLOOKUP($B206,Seqs!$A:$B,2,0),AG206,1),"")</f>
        <v>C</v>
      </c>
      <c r="AG206" s="3">
        <v>186</v>
      </c>
      <c r="AH206" s="3" t="str">
        <f>IFERROR(MID(VLOOKUP($B206,Seqs!$A:$B,2,0),AI206,1),"")</f>
        <v>R</v>
      </c>
      <c r="AI206" s="3">
        <v>188</v>
      </c>
      <c r="AJ206" s="3" t="str">
        <f>IFERROR(MID(VLOOKUP($B206,Seqs!$A:$B,2,0),AK206,1),"")</f>
        <v>D</v>
      </c>
      <c r="AK206" s="3">
        <v>193</v>
      </c>
      <c r="AL206" s="3" t="str">
        <f>IFERROR(MID(VLOOKUP($B206,Seqs!$A:$B,2,0),AM206,1),"")</f>
        <v>S</v>
      </c>
      <c r="AM206" s="3">
        <v>229</v>
      </c>
      <c r="AN206" s="3" t="str">
        <f>IFERROR(MID(VLOOKUP($B206,Seqs!$A:$B,2,0),AO206,1),"")</f>
        <v>K</v>
      </c>
      <c r="AO206" s="3">
        <v>234</v>
      </c>
      <c r="AP206" s="3" t="str">
        <f>IFERROR(MID(VLOOKUP($B206,Seqs!$A:$B,2,0),AQ206,1),"")</f>
        <v>E</v>
      </c>
      <c r="AQ206" s="3">
        <v>268</v>
      </c>
      <c r="AR206" s="3" t="str">
        <f>IFERROR(MID(VLOOKUP($B206,Seqs!$A:$B,2,0),AS206,1),"")</f>
        <v>G</v>
      </c>
      <c r="AS206" s="3">
        <v>273</v>
      </c>
      <c r="AT206" s="3" t="str">
        <f>IFERROR(MID(VLOOKUP($B206,Seqs!$A:$B,2,0),AU206,1),"")</f>
        <v>L</v>
      </c>
      <c r="AU206" s="3">
        <v>305</v>
      </c>
      <c r="AV206" s="3" t="str">
        <f>IFERROR(MID(VLOOKUP($B206,Seqs!$A:$B,2,0),AW206,1),"")</f>
        <v>G</v>
      </c>
      <c r="AW206" s="3">
        <v>306</v>
      </c>
      <c r="AX206" s="3" t="str">
        <f>IFERROR(MID(VLOOKUP($B206,Seqs!$A:$B,2,0),AY206,1),"")</f>
        <v>T</v>
      </c>
      <c r="AY206" s="3">
        <v>318</v>
      </c>
      <c r="AZ206" s="77" t="str">
        <f>VLOOKUP(B206,Classification!A:D,2,0)</f>
        <v>A</v>
      </c>
      <c r="BA206" s="94" t="str">
        <f>VLOOKUP(B206,Classification!A:D,4,0)</f>
        <v>Chemokine</v>
      </c>
      <c r="BB206" s="27" t="b">
        <f t="shared" si="1008"/>
        <v>1</v>
      </c>
      <c r="BC206" s="23">
        <f t="shared" ref="BC206:BC214" si="1679">_xlfn.AGGREGATE(9,6,CH206:CS206)-_xlfn.AGGREGATE(9,6,BV206:CG206)+12</f>
        <v>267</v>
      </c>
      <c r="BD206" s="34" t="s">
        <v>23</v>
      </c>
      <c r="BE206" s="3" t="s">
        <v>23</v>
      </c>
      <c r="BF206" s="118" t="s">
        <v>23</v>
      </c>
      <c r="BG206" s="49" t="s">
        <v>1366</v>
      </c>
      <c r="BH206" s="49" t="s">
        <v>1371</v>
      </c>
      <c r="BI206" s="1"/>
      <c r="BJ206" s="70" t="s">
        <v>1281</v>
      </c>
      <c r="BK206" s="57" t="s">
        <v>1281</v>
      </c>
      <c r="BL206" s="57" t="s">
        <v>1281</v>
      </c>
      <c r="BM206" s="57" t="s">
        <v>1281</v>
      </c>
      <c r="BN206" s="57" t="s">
        <v>1281</v>
      </c>
      <c r="BO206" s="57" t="s">
        <v>1281</v>
      </c>
      <c r="BP206" s="57" t="s">
        <v>1281</v>
      </c>
      <c r="BQ206" s="57" t="s">
        <v>1281</v>
      </c>
      <c r="BR206" s="57" t="s">
        <v>1281</v>
      </c>
      <c r="BS206" s="57" t="s">
        <v>1281</v>
      </c>
      <c r="BT206" s="57" t="s">
        <v>1281</v>
      </c>
      <c r="BU206" s="57" t="s">
        <v>1281</v>
      </c>
      <c r="BV206" s="70">
        <f t="shared" ref="BV206:BV214" si="1680">E206</f>
        <v>30</v>
      </c>
      <c r="BW206" s="71">
        <f t="shared" ref="BW206:BW214" si="1681">I206</f>
        <v>67</v>
      </c>
      <c r="BX206" s="72">
        <f t="shared" ref="BX206:BX214" si="1682">M206</f>
        <v>71</v>
      </c>
      <c r="BY206" s="71">
        <f t="shared" ref="BY206:BY214" si="1683">Q206</f>
        <v>101</v>
      </c>
      <c r="BZ206" s="72">
        <f t="shared" ref="BZ206:BZ214" si="1684">U206</f>
        <v>105</v>
      </c>
      <c r="CA206" s="71">
        <f t="shared" ref="CA206:CA214" si="1685">Y206</f>
        <v>141</v>
      </c>
      <c r="CB206" s="72">
        <f t="shared" ref="CB206:CB214" si="1686">AC206</f>
        <v>149</v>
      </c>
      <c r="CC206" s="71">
        <f t="shared" ref="CC206:CC214" si="1687">AG206</f>
        <v>186</v>
      </c>
      <c r="CD206" s="72">
        <f t="shared" ref="CD206:CD214" si="1688">AK206</f>
        <v>193</v>
      </c>
      <c r="CE206" s="71">
        <f t="shared" ref="CE206:CE214" si="1689">AO206</f>
        <v>234</v>
      </c>
      <c r="CF206" s="72">
        <f t="shared" ref="CF206:CF214" si="1690">AS206</f>
        <v>273</v>
      </c>
      <c r="CG206" s="71">
        <f t="shared" ref="CG206:CG214" si="1691">AW206</f>
        <v>306</v>
      </c>
      <c r="CH206" s="70">
        <f t="shared" ref="CH206:CH214" si="1692">G206</f>
        <v>66</v>
      </c>
      <c r="CI206" s="71">
        <f t="shared" ref="CI206:CI214" si="1693">K206</f>
        <v>70</v>
      </c>
      <c r="CJ206" s="72">
        <f t="shared" ref="CJ206:CJ214" si="1694">O206</f>
        <v>100</v>
      </c>
      <c r="CK206" s="72">
        <f t="shared" ref="CK206:CK214" si="1695">S206</f>
        <v>104</v>
      </c>
      <c r="CL206" s="72">
        <f t="shared" ref="CL206:CL214" si="1696">W206</f>
        <v>140</v>
      </c>
      <c r="CM206" s="72">
        <f t="shared" ref="CM206:CM214" si="1697">AA206</f>
        <v>148</v>
      </c>
      <c r="CN206" s="72">
        <f t="shared" ref="CN206:CN214" si="1698">AE206</f>
        <v>175</v>
      </c>
      <c r="CO206" s="72">
        <f t="shared" ref="CO206:CO214" si="1699">AI206</f>
        <v>188</v>
      </c>
      <c r="CP206" s="72">
        <f t="shared" ref="CP206:CP214" si="1700">AM206</f>
        <v>229</v>
      </c>
      <c r="CQ206" s="72">
        <f t="shared" ref="CQ206:CQ214" si="1701">AQ206</f>
        <v>268</v>
      </c>
      <c r="CR206" s="72">
        <f t="shared" ref="CR206:CR214" si="1702">AU206</f>
        <v>305</v>
      </c>
      <c r="CS206" s="72">
        <f t="shared" ref="CS206:CS214" si="1703">AY206</f>
        <v>318</v>
      </c>
      <c r="CT206" s="23">
        <f t="shared" ref="CT206:CT214" si="1704"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1007"/>
        <v>cxcr4_human_3ODU</v>
      </c>
      <c r="B207" s="3" t="s">
        <v>1165</v>
      </c>
      <c r="C207" s="3" t="s">
        <v>63</v>
      </c>
      <c r="D207" s="3" t="str">
        <f>IFERROR(MID(VLOOKUP($B207,Seqs!$A:$B,2,0),E207,1),"")</f>
        <v>A</v>
      </c>
      <c r="E207" s="3">
        <v>34</v>
      </c>
      <c r="F207" s="3" t="str">
        <f>IFERROR(MID(VLOOKUP($B207,Seqs!$A:$B,2,0),G207,1),"")</f>
        <v>Q</v>
      </c>
      <c r="G207" s="3">
        <v>66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71</v>
      </c>
      <c r="N207" s="3" t="str">
        <f>IFERROR(MID(VLOOKUP($B207,Seqs!$A:$B,2,0),O207,1),"")</f>
        <v>A</v>
      </c>
      <c r="O207" s="3">
        <v>100</v>
      </c>
      <c r="P207" s="3" t="str">
        <f>IFERROR(MID(VLOOKUP($B207,Seqs!$A:$B,2,0),Q207,1),"")</f>
        <v>N</v>
      </c>
      <c r="Q207" s="3">
        <v>101</v>
      </c>
      <c r="R207" s="3" t="str">
        <f>IFERROR(MID(VLOOKUP($B207,Seqs!$A:$B,2,0),S207,1),"")</f>
        <v>F</v>
      </c>
      <c r="S207" s="3">
        <v>104</v>
      </c>
      <c r="T207" s="3" t="str">
        <f>IFERROR(MID(VLOOKUP($B207,Seqs!$A:$B,2,0),U207,1),"")</f>
        <v>G</v>
      </c>
      <c r="U207" s="3">
        <v>105</v>
      </c>
      <c r="V207" s="3" t="str">
        <f>IFERROR(MID(VLOOKUP($B207,Seqs!$A:$B,2,0),W207,1),"")</f>
        <v>H</v>
      </c>
      <c r="W207" s="3">
        <v>140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144</v>
      </c>
      <c r="AD207" s="3" t="str">
        <f>IFERROR(MID(VLOOKUP($B207,Seqs!$A:$B,2,0),AE207,1),"")</f>
        <v>A</v>
      </c>
      <c r="AE207" s="3">
        <v>175</v>
      </c>
      <c r="AF207" s="3" t="str">
        <f>IFERROR(MID(VLOOKUP($B207,Seqs!$A:$B,2,0),AG207,1),"")</f>
        <v>C</v>
      </c>
      <c r="AG207" s="3">
        <v>186</v>
      </c>
      <c r="AH207" s="3" t="str">
        <f>IFERROR(MID(VLOOKUP($B207,Seqs!$A:$B,2,0),AI207,1),"")</f>
        <v>R</v>
      </c>
      <c r="AI207" s="3">
        <v>188</v>
      </c>
      <c r="AJ207" s="3" t="str">
        <f>IFERROR(MID(VLOOKUP($B207,Seqs!$A:$B,2,0),AK207,1),"")</f>
        <v>D</v>
      </c>
      <c r="AK207" s="3">
        <v>193</v>
      </c>
      <c r="AL207" s="3" t="str">
        <f>IFERROR(MID(VLOOKUP($B207,Seqs!$A:$B,2,0),AM207,1),"")</f>
        <v>K</v>
      </c>
      <c r="AM207" s="3">
        <v>225</v>
      </c>
      <c r="AN207" s="3" t="str">
        <f>IFERROR(MID(VLOOKUP($B207,Seqs!$A:$B,2,0),AO207,1),"")</f>
        <v>G</v>
      </c>
      <c r="AO207" s="3">
        <v>231</v>
      </c>
      <c r="AP207" s="3" t="str">
        <f>IFERROR(MID(VLOOKUP($B207,Seqs!$A:$B,2,0),AQ207,1),"")</f>
        <v>E</v>
      </c>
      <c r="AQ207" s="3">
        <v>268</v>
      </c>
      <c r="AR207" s="3" t="str">
        <f>IFERROR(MID(VLOOKUP($B207,Seqs!$A:$B,2,0),AS207,1),"")</f>
        <v>G</v>
      </c>
      <c r="AS207" s="3">
        <v>273</v>
      </c>
      <c r="AT207" s="3" t="str">
        <f>IFERROR(MID(VLOOKUP($B207,Seqs!$A:$B,2,0),AU207,1),"")</f>
        <v>I</v>
      </c>
      <c r="AU207" s="3">
        <v>300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Chemokine</v>
      </c>
      <c r="BB207" s="27" t="b">
        <f t="shared" si="1008"/>
        <v>1</v>
      </c>
      <c r="BC207" s="23">
        <f t="shared" si="1679"/>
        <v>240</v>
      </c>
      <c r="BD207" s="2" t="s">
        <v>1370</v>
      </c>
      <c r="BE207" s="3" t="s">
        <v>1368</v>
      </c>
      <c r="BF207" s="118">
        <v>2.5</v>
      </c>
      <c r="BG207" s="49" t="s">
        <v>1371</v>
      </c>
      <c r="BH207" s="49" t="s">
        <v>1371</v>
      </c>
      <c r="BI207" s="1"/>
      <c r="BJ207" s="70" t="s">
        <v>1281</v>
      </c>
      <c r="BK207" s="57" t="s">
        <v>1281</v>
      </c>
      <c r="BL207" s="57" t="s">
        <v>1281</v>
      </c>
      <c r="BM207" s="57" t="s">
        <v>1281</v>
      </c>
      <c r="BN207" s="57" t="s">
        <v>1281</v>
      </c>
      <c r="BO207" s="57" t="s">
        <v>1281</v>
      </c>
      <c r="BP207" s="57" t="s">
        <v>1281</v>
      </c>
      <c r="BQ207" s="57" t="s">
        <v>1281</v>
      </c>
      <c r="BR207" s="57" t="s">
        <v>1281</v>
      </c>
      <c r="BS207" s="57" t="s">
        <v>1281</v>
      </c>
      <c r="BT207" s="57" t="s">
        <v>1281</v>
      </c>
      <c r="BU207" s="57" t="s">
        <v>1281</v>
      </c>
      <c r="BV207" s="70">
        <f t="shared" si="1680"/>
        <v>34</v>
      </c>
      <c r="BW207" s="71" t="str">
        <f t="shared" si="1681"/>
        <v>-</v>
      </c>
      <c r="BX207" s="72">
        <f t="shared" si="1682"/>
        <v>71</v>
      </c>
      <c r="BY207" s="71">
        <f t="shared" si="1683"/>
        <v>101</v>
      </c>
      <c r="BZ207" s="72">
        <f t="shared" si="1684"/>
        <v>105</v>
      </c>
      <c r="CA207" s="71" t="str">
        <f t="shared" si="1685"/>
        <v>-</v>
      </c>
      <c r="CB207" s="72">
        <f t="shared" si="1686"/>
        <v>144</v>
      </c>
      <c r="CC207" s="71">
        <f t="shared" si="1687"/>
        <v>186</v>
      </c>
      <c r="CD207" s="72">
        <f t="shared" si="1688"/>
        <v>193</v>
      </c>
      <c r="CE207" s="71">
        <f t="shared" si="1689"/>
        <v>231</v>
      </c>
      <c r="CF207" s="72">
        <f t="shared" si="1690"/>
        <v>273</v>
      </c>
      <c r="CG207" s="71" t="str">
        <f t="shared" si="1691"/>
        <v>-</v>
      </c>
      <c r="CH207" s="70">
        <f t="shared" si="1692"/>
        <v>66</v>
      </c>
      <c r="CI207" s="71" t="str">
        <f t="shared" si="1693"/>
        <v>-</v>
      </c>
      <c r="CJ207" s="72">
        <f t="shared" si="1694"/>
        <v>100</v>
      </c>
      <c r="CK207" s="72">
        <f t="shared" si="1695"/>
        <v>104</v>
      </c>
      <c r="CL207" s="72">
        <f t="shared" si="1696"/>
        <v>140</v>
      </c>
      <c r="CM207" s="72" t="str">
        <f t="shared" si="1697"/>
        <v>-</v>
      </c>
      <c r="CN207" s="72">
        <f t="shared" si="1698"/>
        <v>175</v>
      </c>
      <c r="CO207" s="72">
        <f t="shared" si="1699"/>
        <v>188</v>
      </c>
      <c r="CP207" s="72">
        <f t="shared" si="1700"/>
        <v>225</v>
      </c>
      <c r="CQ207" s="72">
        <f t="shared" si="1701"/>
        <v>268</v>
      </c>
      <c r="CR207" s="72">
        <f t="shared" si="1702"/>
        <v>300</v>
      </c>
      <c r="CS207" s="72" t="str">
        <f t="shared" si="1703"/>
        <v>-</v>
      </c>
      <c r="CT207" s="23" t="e">
        <f t="shared" si="1704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1007"/>
        <v>cxcr4_human_3OE0</v>
      </c>
      <c r="B208" s="3" t="s">
        <v>1165</v>
      </c>
      <c r="C208" s="3" t="s">
        <v>1025</v>
      </c>
      <c r="D208" s="3" t="str">
        <f>IFERROR(MID(VLOOKUP($B208,Seqs!$A:$B,2,0),E208,1),"")</f>
        <v>A</v>
      </c>
      <c r="E208" s="3">
        <v>34</v>
      </c>
      <c r="F208" s="3" t="str">
        <f>IFERROR(MID(VLOOKUP($B208,Seqs!$A:$B,2,0),G208,1),"")</f>
        <v>Q</v>
      </c>
      <c r="G208" s="3">
        <v>66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71</v>
      </c>
      <c r="N208" s="3" t="str">
        <f>IFERROR(MID(VLOOKUP($B208,Seqs!$A:$B,2,0),O208,1),"")</f>
        <v>A</v>
      </c>
      <c r="O208" s="3">
        <v>100</v>
      </c>
      <c r="P208" s="3" t="str">
        <f>IFERROR(MID(VLOOKUP($B208,Seqs!$A:$B,2,0),Q208,1),"")</f>
        <v>N</v>
      </c>
      <c r="Q208" s="3">
        <v>101</v>
      </c>
      <c r="R208" s="3" t="str">
        <f>IFERROR(MID(VLOOKUP($B208,Seqs!$A:$B,2,0),S208,1),"")</f>
        <v>F</v>
      </c>
      <c r="S208" s="3">
        <v>104</v>
      </c>
      <c r="T208" s="3" t="str">
        <f>IFERROR(MID(VLOOKUP($B208,Seqs!$A:$B,2,0),U208,1),"")</f>
        <v>G</v>
      </c>
      <c r="U208" s="3">
        <v>105</v>
      </c>
      <c r="V208" s="3" t="str">
        <f>IFERROR(MID(VLOOKUP($B208,Seqs!$A:$B,2,0),W208,1),"")</f>
        <v>H</v>
      </c>
      <c r="W208" s="3">
        <v>140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144</v>
      </c>
      <c r="AD208" s="3" t="str">
        <f>IFERROR(MID(VLOOKUP($B208,Seqs!$A:$B,2,0),AE208,1),"")</f>
        <v>A</v>
      </c>
      <c r="AE208" s="3">
        <v>175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R</v>
      </c>
      <c r="AI208" s="3">
        <v>188</v>
      </c>
      <c r="AJ208" s="3" t="str">
        <f>IFERROR(MID(VLOOKUP($B208,Seqs!$A:$B,2,0),AK208,1),"")</f>
        <v>D</v>
      </c>
      <c r="AK208" s="3">
        <v>193</v>
      </c>
      <c r="AL208" s="3" t="str">
        <f>IFERROR(MID(VLOOKUP($B208,Seqs!$A:$B,2,0),AM208,1),"")</f>
        <v>H</v>
      </c>
      <c r="AM208" s="3">
        <v>228</v>
      </c>
      <c r="AN208" s="3" t="str">
        <f>IFERROR(MID(VLOOKUP($B208,Seqs!$A:$B,2,0),AO208,1),"")</f>
        <v>K</v>
      </c>
      <c r="AO208" s="3">
        <v>239</v>
      </c>
      <c r="AP208" s="3" t="str">
        <f>IFERROR(MID(VLOOKUP($B208,Seqs!$A:$B,2,0),AQ208,1),"")</f>
        <v>E</v>
      </c>
      <c r="AQ208" s="3">
        <v>268</v>
      </c>
      <c r="AR208" s="3" t="str">
        <f>IFERROR(MID(VLOOKUP($B208,Seqs!$A:$B,2,0),AS208,1),"")</f>
        <v>G</v>
      </c>
      <c r="AS208" s="3">
        <v>273</v>
      </c>
      <c r="AT208" s="3" t="str">
        <f>IFERROR(MID(VLOOKUP($B208,Seqs!$A:$B,2,0),AU208,1),"")</f>
        <v>I</v>
      </c>
      <c r="AU208" s="3">
        <v>300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Chemokine</v>
      </c>
      <c r="BB208" s="27" t="b">
        <f t="shared" si="1008"/>
        <v>1</v>
      </c>
      <c r="BC208" s="23">
        <f t="shared" si="1679"/>
        <v>235</v>
      </c>
      <c r="BD208" s="4" t="s">
        <v>23</v>
      </c>
      <c r="BE208" s="3" t="s">
        <v>1368</v>
      </c>
      <c r="BF208" s="118">
        <v>2.9</v>
      </c>
      <c r="BG208" s="49" t="s">
        <v>1371</v>
      </c>
      <c r="BH208" s="49" t="s">
        <v>1371</v>
      </c>
      <c r="BI208" s="1"/>
      <c r="BJ208" s="70" t="s">
        <v>1281</v>
      </c>
      <c r="BK208" s="57" t="s">
        <v>1281</v>
      </c>
      <c r="BL208" s="57" t="s">
        <v>1281</v>
      </c>
      <c r="BM208" s="57" t="s">
        <v>1281</v>
      </c>
      <c r="BN208" s="57" t="s">
        <v>1281</v>
      </c>
      <c r="BO208" s="57" t="s">
        <v>1281</v>
      </c>
      <c r="BP208" s="57" t="s">
        <v>1281</v>
      </c>
      <c r="BQ208" s="57" t="s">
        <v>1281</v>
      </c>
      <c r="BR208" s="57" t="s">
        <v>1281</v>
      </c>
      <c r="BS208" s="57" t="s">
        <v>1281</v>
      </c>
      <c r="BT208" s="57" t="s">
        <v>1281</v>
      </c>
      <c r="BU208" s="57" t="s">
        <v>1281</v>
      </c>
      <c r="BV208" s="70">
        <f t="shared" si="1680"/>
        <v>34</v>
      </c>
      <c r="BW208" s="71" t="str">
        <f t="shared" si="1681"/>
        <v>-</v>
      </c>
      <c r="BX208" s="72">
        <f t="shared" si="1682"/>
        <v>71</v>
      </c>
      <c r="BY208" s="71">
        <f t="shared" si="1683"/>
        <v>101</v>
      </c>
      <c r="BZ208" s="72">
        <f t="shared" si="1684"/>
        <v>105</v>
      </c>
      <c r="CA208" s="71" t="str">
        <f t="shared" si="1685"/>
        <v>-</v>
      </c>
      <c r="CB208" s="72">
        <f t="shared" si="1686"/>
        <v>144</v>
      </c>
      <c r="CC208" s="71">
        <f t="shared" si="1687"/>
        <v>186</v>
      </c>
      <c r="CD208" s="72">
        <f t="shared" si="1688"/>
        <v>193</v>
      </c>
      <c r="CE208" s="71">
        <f t="shared" si="1689"/>
        <v>239</v>
      </c>
      <c r="CF208" s="72">
        <f t="shared" si="1690"/>
        <v>273</v>
      </c>
      <c r="CG208" s="71" t="str">
        <f t="shared" si="1691"/>
        <v>-</v>
      </c>
      <c r="CH208" s="70">
        <f t="shared" si="1692"/>
        <v>66</v>
      </c>
      <c r="CI208" s="71" t="str">
        <f t="shared" si="1693"/>
        <v>-</v>
      </c>
      <c r="CJ208" s="72">
        <f t="shared" si="1694"/>
        <v>100</v>
      </c>
      <c r="CK208" s="72">
        <f t="shared" si="1695"/>
        <v>104</v>
      </c>
      <c r="CL208" s="72">
        <f t="shared" si="1696"/>
        <v>140</v>
      </c>
      <c r="CM208" s="72" t="str">
        <f t="shared" si="1697"/>
        <v>-</v>
      </c>
      <c r="CN208" s="72">
        <f t="shared" si="1698"/>
        <v>175</v>
      </c>
      <c r="CO208" s="72">
        <f t="shared" si="1699"/>
        <v>188</v>
      </c>
      <c r="CP208" s="72">
        <f t="shared" si="1700"/>
        <v>228</v>
      </c>
      <c r="CQ208" s="72">
        <f t="shared" si="1701"/>
        <v>268</v>
      </c>
      <c r="CR208" s="72">
        <f t="shared" si="1702"/>
        <v>300</v>
      </c>
      <c r="CS208" s="72" t="str">
        <f t="shared" si="1703"/>
        <v>-</v>
      </c>
      <c r="CT208" s="23" t="e">
        <f t="shared" si="1704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1007"/>
        <v>cxcr4_human_4RWS</v>
      </c>
      <c r="B209" s="3" t="s">
        <v>1165</v>
      </c>
      <c r="C209" s="3" t="s">
        <v>1046</v>
      </c>
      <c r="D209" s="3" t="str">
        <f>IFERROR(MID(VLOOKUP($B209,Seqs!$A:$B,2,0),E209,1),"")</f>
        <v>R</v>
      </c>
      <c r="E209" s="3">
        <v>30</v>
      </c>
      <c r="F209" s="3" t="str">
        <f>IFERROR(MID(VLOOKUP($B209,Seqs!$A:$B,2,0),G209,1),"")</f>
        <v>Q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71</v>
      </c>
      <c r="N209" s="3" t="str">
        <f>IFERROR(MID(VLOOKUP($B209,Seqs!$A:$B,2,0),O209,1),"")</f>
        <v>A</v>
      </c>
      <c r="O209" s="3">
        <v>100</v>
      </c>
      <c r="P209" s="3" t="str">
        <f>IFERROR(MID(VLOOKUP($B209,Seqs!$A:$B,2,0),Q209,1),"")</f>
        <v>N</v>
      </c>
      <c r="Q209" s="3">
        <v>101</v>
      </c>
      <c r="R209" s="3" t="str">
        <f>IFERROR(MID(VLOOKUP($B209,Seqs!$A:$B,2,0),S209,1),"")</f>
        <v>F</v>
      </c>
      <c r="S209" s="3">
        <v>104</v>
      </c>
      <c r="T209" s="3" t="str">
        <f>IFERROR(MID(VLOOKUP($B209,Seqs!$A:$B,2,0),U209,1),"")</f>
        <v>G</v>
      </c>
      <c r="U209" s="3">
        <v>105</v>
      </c>
      <c r="V209" s="3" t="str">
        <f>IFERROR(MID(VLOOKUP($B209,Seqs!$A:$B,2,0),W209,1),"")</f>
        <v>H</v>
      </c>
      <c r="W209" s="3">
        <v>140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144</v>
      </c>
      <c r="AD209" s="3" t="str">
        <f>IFERROR(MID(VLOOKUP($B209,Seqs!$A:$B,2,0),AE209,1),"")</f>
        <v>A</v>
      </c>
      <c r="AE209" s="3">
        <v>175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R</v>
      </c>
      <c r="AI209" s="3">
        <v>188</v>
      </c>
      <c r="AJ209" s="3" t="str">
        <f>IFERROR(MID(VLOOKUP($B209,Seqs!$A:$B,2,0),AK209,1),"")</f>
        <v>D</v>
      </c>
      <c r="AK209" s="3">
        <v>193</v>
      </c>
      <c r="AL209" s="3" t="str">
        <f>IFERROR(MID(VLOOKUP($B209,Seqs!$A:$B,2,0),AM209,1),"")</f>
        <v>S</v>
      </c>
      <c r="AM209" s="3">
        <v>227</v>
      </c>
      <c r="AN209" s="3" t="str">
        <f>IFERROR(MID(VLOOKUP($B209,Seqs!$A:$B,2,0),AO209,1),"")</f>
        <v>K</v>
      </c>
      <c r="AO209" s="3">
        <v>239</v>
      </c>
      <c r="AP209" s="3" t="str">
        <f>IFERROR(MID(VLOOKUP($B209,Seqs!$A:$B,2,0),AQ209,1),"")</f>
        <v>E</v>
      </c>
      <c r="AQ209" s="3">
        <v>268</v>
      </c>
      <c r="AR209" s="3" t="str">
        <f>IFERROR(MID(VLOOKUP($B209,Seqs!$A:$B,2,0),AS209,1),"")</f>
        <v>G</v>
      </c>
      <c r="AS209" s="3">
        <v>273</v>
      </c>
      <c r="AT209" s="3" t="str">
        <f>IFERROR(MID(VLOOKUP($B209,Seqs!$A:$B,2,0),AU209,1),"")</f>
        <v>I</v>
      </c>
      <c r="AU209" s="3">
        <v>300</v>
      </c>
      <c r="AV209" s="3" t="str">
        <f>IFERROR(MID(VLOOKUP($B209,Seqs!$A:$B,2,0),AW209,1),"")</f>
        <v/>
      </c>
      <c r="AW209" s="3" t="s">
        <v>23</v>
      </c>
      <c r="AX209" s="3" t="str">
        <f>IFERROR(MID(VLOOKUP($B209,Seqs!$A:$B,2,0),AY209,1),"")</f>
        <v/>
      </c>
      <c r="AY209" s="3" t="s">
        <v>23</v>
      </c>
      <c r="AZ209" s="77" t="str">
        <f>VLOOKUP(B209,Classification!A:D,2,0)</f>
        <v>A</v>
      </c>
      <c r="BA209" s="94" t="str">
        <f>VLOOKUP(B209,Classification!A:D,4,0)</f>
        <v>Chemokine</v>
      </c>
      <c r="BB209" s="27" t="b">
        <f t="shared" si="1008"/>
        <v>1</v>
      </c>
      <c r="BC209" s="23">
        <f t="shared" si="1679"/>
        <v>238</v>
      </c>
      <c r="BD209" s="5" t="s">
        <v>23</v>
      </c>
      <c r="BE209" s="3" t="s">
        <v>1368</v>
      </c>
      <c r="BF209" s="118">
        <v>3.1</v>
      </c>
      <c r="BG209" s="49" t="s">
        <v>1371</v>
      </c>
      <c r="BH209" s="49" t="s">
        <v>1371</v>
      </c>
      <c r="BI209" s="1"/>
      <c r="BJ209" s="70" t="s">
        <v>1281</v>
      </c>
      <c r="BK209" s="57" t="s">
        <v>1281</v>
      </c>
      <c r="BL209" s="57" t="s">
        <v>1281</v>
      </c>
      <c r="BM209" s="57" t="s">
        <v>1281</v>
      </c>
      <c r="BN209" s="57" t="s">
        <v>1281</v>
      </c>
      <c r="BO209" s="57" t="s">
        <v>1281</v>
      </c>
      <c r="BP209" s="57" t="s">
        <v>1281</v>
      </c>
      <c r="BQ209" s="57" t="s">
        <v>1281</v>
      </c>
      <c r="BR209" s="57" t="s">
        <v>1281</v>
      </c>
      <c r="BS209" s="57" t="s">
        <v>1281</v>
      </c>
      <c r="BT209" s="57" t="s">
        <v>1281</v>
      </c>
      <c r="BU209" s="57" t="s">
        <v>1281</v>
      </c>
      <c r="BV209" s="70">
        <f t="shared" si="1680"/>
        <v>30</v>
      </c>
      <c r="BW209" s="71" t="str">
        <f t="shared" si="1681"/>
        <v>-</v>
      </c>
      <c r="BX209" s="72">
        <f t="shared" si="1682"/>
        <v>71</v>
      </c>
      <c r="BY209" s="71">
        <f t="shared" si="1683"/>
        <v>101</v>
      </c>
      <c r="BZ209" s="72">
        <f t="shared" si="1684"/>
        <v>105</v>
      </c>
      <c r="CA209" s="71" t="str">
        <f t="shared" si="1685"/>
        <v>-</v>
      </c>
      <c r="CB209" s="72">
        <f t="shared" si="1686"/>
        <v>144</v>
      </c>
      <c r="CC209" s="71">
        <f t="shared" si="1687"/>
        <v>186</v>
      </c>
      <c r="CD209" s="72">
        <f t="shared" si="1688"/>
        <v>193</v>
      </c>
      <c r="CE209" s="71">
        <f t="shared" si="1689"/>
        <v>239</v>
      </c>
      <c r="CF209" s="72">
        <f t="shared" si="1690"/>
        <v>273</v>
      </c>
      <c r="CG209" s="71" t="str">
        <f t="shared" si="1691"/>
        <v>-</v>
      </c>
      <c r="CH209" s="70">
        <f t="shared" si="1692"/>
        <v>66</v>
      </c>
      <c r="CI209" s="71" t="str">
        <f t="shared" si="1693"/>
        <v>-</v>
      </c>
      <c r="CJ209" s="72">
        <f t="shared" si="1694"/>
        <v>100</v>
      </c>
      <c r="CK209" s="72">
        <f t="shared" si="1695"/>
        <v>104</v>
      </c>
      <c r="CL209" s="72">
        <f t="shared" si="1696"/>
        <v>140</v>
      </c>
      <c r="CM209" s="72" t="str">
        <f t="shared" si="1697"/>
        <v>-</v>
      </c>
      <c r="CN209" s="72">
        <f t="shared" si="1698"/>
        <v>175</v>
      </c>
      <c r="CO209" s="72">
        <f t="shared" si="1699"/>
        <v>188</v>
      </c>
      <c r="CP209" s="72">
        <f t="shared" si="1700"/>
        <v>227</v>
      </c>
      <c r="CQ209" s="72">
        <f t="shared" si="1701"/>
        <v>268</v>
      </c>
      <c r="CR209" s="72">
        <f t="shared" si="1702"/>
        <v>300</v>
      </c>
      <c r="CS209" s="72" t="str">
        <f t="shared" si="1703"/>
        <v>-</v>
      </c>
      <c r="CT209" s="23" t="e">
        <f t="shared" si="1704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drd2_human__wt</v>
      </c>
      <c r="B210" s="3" t="s">
        <v>191</v>
      </c>
      <c r="C210" s="3" t="s">
        <v>100</v>
      </c>
      <c r="D210" s="3" t="str">
        <f>IFERROR(MID(VLOOKUP($B210,Seqs!$A:$B,2,0),E210,1),"")</f>
        <v>R</v>
      </c>
      <c r="E210" s="3">
        <v>31</v>
      </c>
      <c r="F210" s="3" t="str">
        <f>IFERROR(MID(VLOOKUP($B210,Seqs!$A:$B,2,0),G210,1),"")</f>
        <v>E</v>
      </c>
      <c r="G210" s="3">
        <v>62</v>
      </c>
      <c r="H210" s="3" t="str">
        <f>IFERROR(MID(VLOOKUP($B210,Seqs!$A:$B,2,0),I210,1),"")</f>
        <v>K</v>
      </c>
      <c r="I210" s="23">
        <v>63</v>
      </c>
      <c r="J210" s="3" t="str">
        <f>IFERROR(MID(VLOOKUP($B210,Seqs!$A:$B,2,0),K210,1),"")</f>
        <v>Q</v>
      </c>
      <c r="K210" s="23">
        <v>66</v>
      </c>
      <c r="L210" s="3" t="str">
        <f>IFERROR(MID(VLOOKUP($B210,Seqs!$A:$B,2,0),M210,1),"")</f>
        <v>T</v>
      </c>
      <c r="M210" s="3">
        <v>67</v>
      </c>
      <c r="N210" s="3" t="str">
        <f>IFERROR(MID(VLOOKUP($B210,Seqs!$A:$B,2,0),O210,1),"")</f>
        <v>G</v>
      </c>
      <c r="O210" s="3">
        <v>98</v>
      </c>
      <c r="P210" s="3" t="str">
        <f>IFERROR(MID(VLOOKUP($B210,Seqs!$A:$B,2,0),Q210,1),"")</f>
        <v>E</v>
      </c>
      <c r="Q210" s="3">
        <v>99</v>
      </c>
      <c r="R210" s="3" t="str">
        <f>IFERROR(MID(VLOOKUP($B210,Seqs!$A:$B,2,0),S210,1),"")</f>
        <v>F</v>
      </c>
      <c r="S210" s="3">
        <v>102</v>
      </c>
      <c r="T210" s="3" t="str">
        <f>IFERROR(MID(VLOOKUP($B210,Seqs!$A:$B,2,0),U210,1),"")</f>
        <v>S</v>
      </c>
      <c r="U210" s="3">
        <v>103</v>
      </c>
      <c r="V210" s="3" t="str">
        <f>IFERROR(MID(VLOOKUP($B210,Seqs!$A:$B,2,0),W210,1),"")</f>
        <v>M</v>
      </c>
      <c r="W210" s="3">
        <v>138</v>
      </c>
      <c r="X210" s="3" t="str">
        <f>IFERROR(MID(VLOOKUP($B210,Seqs!$A:$B,2,0),Y210,1),"")</f>
        <v>P</v>
      </c>
      <c r="Y210" s="3">
        <v>139</v>
      </c>
      <c r="Z210" s="3" t="str">
        <f>IFERROR(MID(VLOOKUP($B210,Seqs!$A:$B,2,0),AA210,1),"")</f>
        <v>S</v>
      </c>
      <c r="AA210" s="3">
        <v>147</v>
      </c>
      <c r="AB210" s="3" t="str">
        <f>IFERROR(MID(VLOOKUP($B210,Seqs!$A:$B,2,0),AC210,1),"")</f>
        <v>S</v>
      </c>
      <c r="AC210" s="3">
        <v>148</v>
      </c>
      <c r="AD210" s="3" t="str">
        <f>IFERROR(MID(VLOOKUP($B210,Seqs!$A:$B,2,0),AE210,1),"")</f>
        <v>F</v>
      </c>
      <c r="AE210" s="3">
        <v>172</v>
      </c>
      <c r="AF210" s="3" t="str">
        <f>IFERROR(MID(VLOOKUP($B210,Seqs!$A:$B,2,0),AG210,1),"")</f>
        <v>C</v>
      </c>
      <c r="AG210" s="3">
        <v>182</v>
      </c>
      <c r="AH210" s="3" t="str">
        <f>IFERROR(MID(VLOOKUP($B210,Seqs!$A:$B,2,0),AI210,1),"")</f>
        <v>I</v>
      </c>
      <c r="AI210" s="3">
        <v>184</v>
      </c>
      <c r="AJ210" s="3" t="str">
        <f>IFERROR(MID(VLOOKUP($B210,Seqs!$A:$B,2,0),AK210,1),"")</f>
        <v>N</v>
      </c>
      <c r="AK210" s="3">
        <v>186</v>
      </c>
      <c r="AL210" s="3" t="str">
        <f>IFERROR(MID(VLOOKUP($B210,Seqs!$A:$B,2,0),AM210,1),"")</f>
        <v>K</v>
      </c>
      <c r="AM210" s="3">
        <v>226</v>
      </c>
      <c r="AN210" s="3" t="str">
        <f>IFERROR(MID(VLOOKUP($B210,Seqs!$A:$B,2,0),AO210,1),"")</f>
        <v>K</v>
      </c>
      <c r="AO210" s="3">
        <v>362</v>
      </c>
      <c r="AP210" s="3" t="str">
        <f>IFERROR(MID(VLOOKUP($B210,Seqs!$A:$B,2,0),AQ210,1),"")</f>
        <v>C</v>
      </c>
      <c r="AQ210" s="3">
        <v>399</v>
      </c>
      <c r="AR210" s="3" t="str">
        <f>IFERROR(MID(VLOOKUP($B210,Seqs!$A:$B,2,0),AS210,1),"")</f>
        <v>P</v>
      </c>
      <c r="AS210" s="3">
        <v>404</v>
      </c>
      <c r="AT210" s="3" t="str">
        <f>IFERROR(MID(VLOOKUP($B210,Seqs!$A:$B,2,0),AU210,1),"")</f>
        <v>F</v>
      </c>
      <c r="AU210" s="3">
        <v>429</v>
      </c>
      <c r="AV210" s="3" t="str">
        <f>IFERROR(MID(VLOOKUP($B210,Seqs!$A:$B,2,0),AW210,1),"")</f>
        <v>N</v>
      </c>
      <c r="AW210" s="3">
        <v>430</v>
      </c>
      <c r="AX210" s="3" t="str">
        <f>IFERROR(MID(VLOOKUP($B210,Seqs!$A:$B,2,0),AY210,1),"")</f>
        <v>H</v>
      </c>
      <c r="AY210" s="3">
        <v>442</v>
      </c>
      <c r="AZ210" s="77" t="str">
        <f>VLOOKUP(B210,Classification!A:D,2,0)</f>
        <v>A</v>
      </c>
      <c r="BA210" s="94" t="str">
        <f>VLOOKUP(B210,Classification!A:D,4,0)</f>
        <v>Dopamine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263</v>
      </c>
      <c r="BD210" s="56" t="s">
        <v>23</v>
      </c>
      <c r="BE210" s="3" t="s">
        <v>23</v>
      </c>
      <c r="BF210" s="118" t="s">
        <v>23</v>
      </c>
      <c r="BG210" s="49" t="s">
        <v>1366</v>
      </c>
      <c r="BH210" s="49" t="s">
        <v>1371</v>
      </c>
      <c r="BI210" s="1"/>
      <c r="BJ210" s="70" t="s">
        <v>1281</v>
      </c>
      <c r="BK210" s="57" t="s">
        <v>1281</v>
      </c>
      <c r="BL210" s="57" t="s">
        <v>1281</v>
      </c>
      <c r="BM210" s="57" t="s">
        <v>1281</v>
      </c>
      <c r="BN210" s="57" t="s">
        <v>1281</v>
      </c>
      <c r="BO210" s="57" t="s">
        <v>1281</v>
      </c>
      <c r="BP210" s="57" t="s">
        <v>1281</v>
      </c>
      <c r="BQ210" s="57" t="s">
        <v>1281</v>
      </c>
      <c r="BR210" s="57" t="s">
        <v>1281</v>
      </c>
      <c r="BS210" s="57" t="s">
        <v>1281</v>
      </c>
      <c r="BT210" s="57" t="s">
        <v>1281</v>
      </c>
      <c r="BU210" s="57" t="s">
        <v>1281</v>
      </c>
      <c r="BV210" s="70">
        <f>E210</f>
        <v>31</v>
      </c>
      <c r="BW210" s="71">
        <f>I210</f>
        <v>63</v>
      </c>
      <c r="BX210" s="72">
        <f>M210</f>
        <v>67</v>
      </c>
      <c r="BY210" s="71">
        <f>Q210</f>
        <v>99</v>
      </c>
      <c r="BZ210" s="72">
        <f>U210</f>
        <v>103</v>
      </c>
      <c r="CA210" s="71">
        <f>Y210</f>
        <v>139</v>
      </c>
      <c r="CB210" s="72">
        <f>AC210</f>
        <v>148</v>
      </c>
      <c r="CC210" s="71">
        <f>AG210</f>
        <v>182</v>
      </c>
      <c r="CD210" s="72">
        <f>AK210</f>
        <v>186</v>
      </c>
      <c r="CE210" s="71">
        <f>AO210</f>
        <v>362</v>
      </c>
      <c r="CF210" s="72">
        <f>AS210</f>
        <v>404</v>
      </c>
      <c r="CG210" s="71">
        <f>AW210</f>
        <v>430</v>
      </c>
      <c r="CH210" s="70">
        <f>G210</f>
        <v>62</v>
      </c>
      <c r="CI210" s="71">
        <f>K210</f>
        <v>66</v>
      </c>
      <c r="CJ210" s="72">
        <f>O210</f>
        <v>98</v>
      </c>
      <c r="CK210" s="72">
        <f>S210</f>
        <v>102</v>
      </c>
      <c r="CL210" s="72">
        <f>W210</f>
        <v>138</v>
      </c>
      <c r="CM210" s="72">
        <f>AA210</f>
        <v>147</v>
      </c>
      <c r="CN210" s="72">
        <f>AE210</f>
        <v>172</v>
      </c>
      <c r="CO210" s="72">
        <f>AI210</f>
        <v>184</v>
      </c>
      <c r="CP210" s="72">
        <f>AM210</f>
        <v>226</v>
      </c>
      <c r="CQ210" s="72">
        <f>AQ210</f>
        <v>399</v>
      </c>
      <c r="CR210" s="72">
        <f>AU210</f>
        <v>429</v>
      </c>
      <c r="CS210" s="72">
        <f>AY210</f>
        <v>442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>CONCATENATE(B211,"_",C211)</f>
        <v>drd2_human_6CM4</v>
      </c>
      <c r="B211" s="3" t="s">
        <v>191</v>
      </c>
      <c r="C211" s="3" t="s">
        <v>1470</v>
      </c>
      <c r="D211" s="3" t="str">
        <f>IFERROR(MID(VLOOKUP($B211,Seqs!$A:$B,2,0),E211,1),"")</f>
        <v>N</v>
      </c>
      <c r="E211" s="3">
        <v>35</v>
      </c>
      <c r="F211" s="3" t="str">
        <f>IFERROR(MID(VLOOKUP($B211,Seqs!$A:$B,2,0),G211,1),"")</f>
        <v>E</v>
      </c>
      <c r="G211" s="3">
        <v>62</v>
      </c>
      <c r="H211" s="3" t="str">
        <f>IFERROR(MID(VLOOKUP($B211,Seqs!$A:$B,2,0),I211,1),"")</f>
        <v>K</v>
      </c>
      <c r="I211" s="23">
        <v>63</v>
      </c>
      <c r="J211" s="3" t="str">
        <f>IFERROR(MID(VLOOKUP($B211,Seqs!$A:$B,2,0),K211,1),"")</f>
        <v>Q</v>
      </c>
      <c r="K211" s="23">
        <v>66</v>
      </c>
      <c r="L211" s="3" t="str">
        <f>IFERROR(MID(VLOOKUP($B211,Seqs!$A:$B,2,0),M211,1),"")</f>
        <v>T</v>
      </c>
      <c r="M211" s="3">
        <v>67</v>
      </c>
      <c r="N211" s="3" t="str">
        <f>IFERROR(MID(VLOOKUP($B211,Seqs!$A:$B,2,0),O211,1),"")</f>
        <v>G</v>
      </c>
      <c r="O211" s="3">
        <v>98</v>
      </c>
      <c r="P211" s="3" t="str">
        <f>IFERROR(MID(VLOOKUP($B211,Seqs!$A:$B,2,0),Q211,1),"")</f>
        <v>E</v>
      </c>
      <c r="Q211" s="3">
        <v>99</v>
      </c>
      <c r="R211" s="3" t="str">
        <f>IFERROR(MID(VLOOKUP($B211,Seqs!$A:$B,2,0),S211,1),"")</f>
        <v>F</v>
      </c>
      <c r="S211" s="3">
        <v>102</v>
      </c>
      <c r="T211" s="3" t="str">
        <f>IFERROR(MID(VLOOKUP($B211,Seqs!$A:$B,2,0),U211,1),"")</f>
        <v>S</v>
      </c>
      <c r="U211" s="3">
        <v>103</v>
      </c>
      <c r="V211" s="3" t="str">
        <f>IFERROR(MID(VLOOKUP($B211,Seqs!$A:$B,2,0),W211,1),"")</f>
        <v>M</v>
      </c>
      <c r="W211" s="3">
        <v>138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Y</v>
      </c>
      <c r="AC211" s="3">
        <v>146</v>
      </c>
      <c r="AD211" s="3" t="str">
        <f>IFERROR(MID(VLOOKUP($B211,Seqs!$A:$B,2,0),AE211,1),"")</f>
        <v>F</v>
      </c>
      <c r="AE211" s="3">
        <v>172</v>
      </c>
      <c r="AF211" s="3" t="str">
        <f>IFERROR(MID(VLOOKUP($B211,Seqs!$A:$B,2,0),AG211,1),"")</f>
        <v>C</v>
      </c>
      <c r="AG211" s="3">
        <v>182</v>
      </c>
      <c r="AH211" s="3" t="str">
        <f>IFERROR(MID(VLOOKUP($B211,Seqs!$A:$B,2,0),AI211,1),"")</f>
        <v>I</v>
      </c>
      <c r="AI211" s="3">
        <v>184</v>
      </c>
      <c r="AJ211" s="3" t="str">
        <f>IFERROR(MID(VLOOKUP($B211,Seqs!$A:$B,2,0),AK211,1),"")</f>
        <v>A</v>
      </c>
      <c r="AK211" s="3">
        <v>188</v>
      </c>
      <c r="AL211" s="3" t="str">
        <f>IFERROR(MID(VLOOKUP($B211,Seqs!$A:$B,2,0),AM211,1),"")</f>
        <v>R</v>
      </c>
      <c r="AM211" s="3">
        <v>222</v>
      </c>
      <c r="AN211" s="3" t="str">
        <f>IFERROR(MID(VLOOKUP($B211,Seqs!$A:$B,2,0),AO211,1),"")</f>
        <v>E</v>
      </c>
      <c r="AO211" s="3">
        <v>368</v>
      </c>
      <c r="AP211" s="3" t="str">
        <f>IFERROR(MID(VLOOKUP($B211,Seqs!$A:$B,2,0),AQ211,1),"")</f>
        <v>C</v>
      </c>
      <c r="AQ211" s="3">
        <v>399</v>
      </c>
      <c r="AR211" s="3" t="str">
        <f>IFERROR(MID(VLOOKUP($B211,Seqs!$A:$B,2,0),AS211,1),"")</f>
        <v>P</v>
      </c>
      <c r="AS211" s="3">
        <v>404</v>
      </c>
      <c r="AT211" s="3" t="str">
        <f>IFERROR(MID(VLOOKUP($B211,Seqs!$A:$B,2,0),AU211,1),"")</f>
        <v>F</v>
      </c>
      <c r="AU211" s="3">
        <v>429</v>
      </c>
      <c r="AV211" s="3" t="str">
        <f>IFERROR(MID(VLOOKUP($B211,Seqs!$A:$B,2,0),AW211,1),"")</f>
        <v>N</v>
      </c>
      <c r="AW211" s="3">
        <v>430</v>
      </c>
      <c r="AX211" s="3" t="str">
        <f>IFERROR(MID(VLOOKUP($B211,Seqs!$A:$B,2,0),AY211,1),"")</f>
        <v>H</v>
      </c>
      <c r="AY211" s="3">
        <v>442</v>
      </c>
      <c r="AZ211" s="77" t="str">
        <f>VLOOKUP(B211,Classification!A:D,2,0)</f>
        <v>A</v>
      </c>
      <c r="BA211" s="94" t="str">
        <f>VLOOKUP(B211,Classification!A:D,4,0)</f>
        <v>Dopamine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241</v>
      </c>
      <c r="BD211" s="56" t="s">
        <v>1370</v>
      </c>
      <c r="BE211" s="3" t="s">
        <v>1368</v>
      </c>
      <c r="BF211" s="118">
        <v>2.87</v>
      </c>
      <c r="BG211" s="49" t="s">
        <v>1</v>
      </c>
      <c r="BH211" s="49" t="s">
        <v>1</v>
      </c>
      <c r="BI211" s="1"/>
      <c r="BJ211" s="70" t="s">
        <v>1281</v>
      </c>
      <c r="BK211" s="57" t="s">
        <v>1281</v>
      </c>
      <c r="BL211" s="57" t="s">
        <v>1281</v>
      </c>
      <c r="BM211" s="57" t="s">
        <v>1281</v>
      </c>
      <c r="BN211" s="57" t="s">
        <v>1281</v>
      </c>
      <c r="BO211" s="57" t="s">
        <v>1281</v>
      </c>
      <c r="BP211" s="57" t="s">
        <v>1281</v>
      </c>
      <c r="BQ211" s="57" t="s">
        <v>1281</v>
      </c>
      <c r="BR211" s="57" t="s">
        <v>1281</v>
      </c>
      <c r="BS211" s="57" t="s">
        <v>1281</v>
      </c>
      <c r="BT211" s="57" t="s">
        <v>1281</v>
      </c>
      <c r="BU211" s="57" t="s">
        <v>1281</v>
      </c>
      <c r="BV211" s="70">
        <f>E211</f>
        <v>35</v>
      </c>
      <c r="BW211" s="71">
        <f>I211</f>
        <v>63</v>
      </c>
      <c r="BX211" s="72">
        <f>M211</f>
        <v>67</v>
      </c>
      <c r="BY211" s="71">
        <f>Q211</f>
        <v>99</v>
      </c>
      <c r="BZ211" s="72">
        <f>U211</f>
        <v>103</v>
      </c>
      <c r="CA211" s="71" t="str">
        <f>Y211</f>
        <v>-</v>
      </c>
      <c r="CB211" s="72">
        <f>AC211</f>
        <v>146</v>
      </c>
      <c r="CC211" s="71">
        <f>AG211</f>
        <v>182</v>
      </c>
      <c r="CD211" s="72">
        <f>AK211</f>
        <v>188</v>
      </c>
      <c r="CE211" s="71">
        <f>AO211</f>
        <v>368</v>
      </c>
      <c r="CF211" s="72">
        <f>AS211</f>
        <v>404</v>
      </c>
      <c r="CG211" s="71">
        <f>AW211</f>
        <v>430</v>
      </c>
      <c r="CH211" s="70">
        <f>G211</f>
        <v>62</v>
      </c>
      <c r="CI211" s="71">
        <f>K211</f>
        <v>66</v>
      </c>
      <c r="CJ211" s="72">
        <f>O211</f>
        <v>98</v>
      </c>
      <c r="CK211" s="72">
        <f>S211</f>
        <v>102</v>
      </c>
      <c r="CL211" s="72">
        <f>W211</f>
        <v>138</v>
      </c>
      <c r="CM211" s="72" t="str">
        <f>AA211</f>
        <v>-</v>
      </c>
      <c r="CN211" s="72">
        <f>AE211</f>
        <v>172</v>
      </c>
      <c r="CO211" s="72">
        <f>AI211</f>
        <v>184</v>
      </c>
      <c r="CP211" s="72">
        <f>AM211</f>
        <v>222</v>
      </c>
      <c r="CQ211" s="72">
        <f>AQ211</f>
        <v>399</v>
      </c>
      <c r="CR211" s="72">
        <f>AU211</f>
        <v>429</v>
      </c>
      <c r="CS211" s="72">
        <f>AY211</f>
        <v>442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>CONCATENATE(B212,"_",C212)</f>
        <v>drd2_human_6LUQ</v>
      </c>
      <c r="B212" s="9" t="s">
        <v>191</v>
      </c>
      <c r="C212" s="9" t="s">
        <v>1650</v>
      </c>
      <c r="D212" s="9" t="str">
        <f>IFERROR(MID(VLOOKUP($B212,Seqs!$A:$B,2,0),E212,1),"")</f>
        <v>Y</v>
      </c>
      <c r="E212" s="9">
        <v>36</v>
      </c>
      <c r="F212" s="9" t="str">
        <f>IFERROR(MID(VLOOKUP($B212,Seqs!$A:$B,2,0),G212,1),"")</f>
        <v>E</v>
      </c>
      <c r="G212" s="9">
        <v>62</v>
      </c>
      <c r="H212" s="9" t="str">
        <f>IFERROR(MID(VLOOKUP($B212,Seqs!$A:$B,2,0),I212,1),"")</f>
        <v>K</v>
      </c>
      <c r="I212" s="109">
        <v>63</v>
      </c>
      <c r="J212" s="9" t="str">
        <f>IFERROR(MID(VLOOKUP($B212,Seqs!$A:$B,2,0),K212,1),"")</f>
        <v>Q</v>
      </c>
      <c r="K212" s="109">
        <v>66</v>
      </c>
      <c r="L212" s="9" t="str">
        <f>IFERROR(MID(VLOOKUP($B212,Seqs!$A:$B,2,0),M212,1),"")</f>
        <v>T</v>
      </c>
      <c r="M212" s="9">
        <v>67</v>
      </c>
      <c r="N212" s="9" t="str">
        <f>IFERROR(MID(VLOOKUP($B212,Seqs!$A:$B,2,0),O212,1),"")</f>
        <v>G</v>
      </c>
      <c r="O212" s="9">
        <v>98</v>
      </c>
      <c r="P212" s="9" t="str">
        <f>IFERROR(MID(VLOOKUP($B212,Seqs!$A:$B,2,0),Q212,1),"")</f>
        <v>E</v>
      </c>
      <c r="Q212" s="9">
        <v>99</v>
      </c>
      <c r="R212" s="9" t="str">
        <f>IFERROR(MID(VLOOKUP($B212,Seqs!$A:$B,2,0),S212,1),"")</f>
        <v>F</v>
      </c>
      <c r="S212" s="9">
        <v>102</v>
      </c>
      <c r="T212" s="9" t="str">
        <f>IFERROR(MID(VLOOKUP($B212,Seqs!$A:$B,2,0),U212,1),"")</f>
        <v>S</v>
      </c>
      <c r="U212" s="9">
        <v>103</v>
      </c>
      <c r="V212" s="9" t="str">
        <f>IFERROR(MID(VLOOKUP($B212,Seqs!$A:$B,2,0),W212,1),"")</f>
        <v>M</v>
      </c>
      <c r="W212" s="9">
        <v>138</v>
      </c>
      <c r="X212" s="9" t="str">
        <f>IFERROR(MID(VLOOKUP($B212,Seqs!$A:$B,2,0),Y212,1),"")</f>
        <v/>
      </c>
      <c r="Y212" s="9" t="s">
        <v>23</v>
      </c>
      <c r="Z212" s="9" t="str">
        <f>IFERROR(MID(VLOOKUP($B212,Seqs!$A:$B,2,0),AA212,1),"")</f>
        <v/>
      </c>
      <c r="AA212" s="9" t="s">
        <v>23</v>
      </c>
      <c r="AB212" s="9" t="str">
        <f>IFERROR(MID(VLOOKUP($B212,Seqs!$A:$B,2,0),AC212,1),"")</f>
        <v>R</v>
      </c>
      <c r="AC212" s="9">
        <v>145</v>
      </c>
      <c r="AD212" s="9" t="str">
        <f>IFERROR(MID(VLOOKUP($B212,Seqs!$A:$B,2,0),AE212,1),"")</f>
        <v>G</v>
      </c>
      <c r="AE212" s="9">
        <v>173</v>
      </c>
      <c r="AF212" s="9" t="str">
        <f>IFERROR(MID(VLOOKUP($B212,Seqs!$A:$B,2,0),AG212,1),"")</f>
        <v>C</v>
      </c>
      <c r="AG212" s="9">
        <v>182</v>
      </c>
      <c r="AH212" s="9" t="str">
        <f>IFERROR(MID(VLOOKUP($B212,Seqs!$A:$B,2,0),AI212,1),"")</f>
        <v>I</v>
      </c>
      <c r="AI212" s="9">
        <v>184</v>
      </c>
      <c r="AJ212" s="9" t="str">
        <f>IFERROR(MID(VLOOKUP($B212,Seqs!$A:$B,2,0),AK212,1),"")</f>
        <v>A</v>
      </c>
      <c r="AK212" s="9">
        <v>188</v>
      </c>
      <c r="AL212" s="9" t="str">
        <f>IFERROR(MID(VLOOKUP($B212,Seqs!$A:$B,2,0),AM212,1),"")</f>
        <v>R</v>
      </c>
      <c r="AM212" s="9">
        <v>222</v>
      </c>
      <c r="AN212" s="9" t="str">
        <f>IFERROR(MID(VLOOKUP($B212,Seqs!$A:$B,2,0),AO212,1),"")</f>
        <v>L</v>
      </c>
      <c r="AO212" s="9">
        <v>387</v>
      </c>
      <c r="AP212" s="9" t="str">
        <f>IFERROR(MID(VLOOKUP($B212,Seqs!$A:$B,2,0),AQ212,1),"")</f>
        <v>A</v>
      </c>
      <c r="AQ212" s="9">
        <v>420</v>
      </c>
      <c r="AR212" s="9" t="str">
        <f>IFERROR(MID(VLOOKUP($B212,Seqs!$A:$B,2,0),AS212,1),"")</f>
        <v>I</v>
      </c>
      <c r="AS212" s="9">
        <v>425</v>
      </c>
      <c r="AT212" s="9" t="str">
        <f>IFERROR(MID(VLOOKUP($B212,Seqs!$A:$B,2,0),AU212,1),"")</f>
        <v/>
      </c>
      <c r="AU212" s="9">
        <v>450</v>
      </c>
      <c r="AV212" s="9" t="str">
        <f>IFERROR(MID(VLOOKUP($B212,Seqs!$A:$B,2,0),AW212,1),"")</f>
        <v/>
      </c>
      <c r="AW212" s="9">
        <v>451</v>
      </c>
      <c r="AX212" s="9" t="str">
        <f>IFERROR(MID(VLOOKUP($B212,Seqs!$A:$B,2,0),AY212,1),"")</f>
        <v/>
      </c>
      <c r="AY212" s="9">
        <v>463</v>
      </c>
      <c r="AZ212" s="110" t="str">
        <f>VLOOKUP(B212,Classification!A:D,2,0)</f>
        <v>A</v>
      </c>
      <c r="BA212" s="98" t="str">
        <f>VLOOKUP(B212,Classification!A:D,4,0)</f>
        <v>Dopamine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244</v>
      </c>
      <c r="BD212" s="129" t="s">
        <v>23</v>
      </c>
      <c r="BE212" s="9" t="s">
        <v>1368</v>
      </c>
      <c r="BF212" s="119">
        <v>3.1</v>
      </c>
      <c r="BG212" s="51" t="s">
        <v>1</v>
      </c>
      <c r="BH212" s="51" t="s">
        <v>1</v>
      </c>
      <c r="BJ212" s="111" t="s">
        <v>1281</v>
      </c>
      <c r="BK212" s="112" t="s">
        <v>1281</v>
      </c>
      <c r="BL212" s="112" t="s">
        <v>1281</v>
      </c>
      <c r="BM212" s="112" t="s">
        <v>1281</v>
      </c>
      <c r="BN212" s="112" t="s">
        <v>1281</v>
      </c>
      <c r="BO212" s="112" t="s">
        <v>1281</v>
      </c>
      <c r="BP212" s="112" t="s">
        <v>1281</v>
      </c>
      <c r="BQ212" s="112" t="s">
        <v>1281</v>
      </c>
      <c r="BR212" s="112" t="s">
        <v>1281</v>
      </c>
      <c r="BS212" s="112" t="s">
        <v>1281</v>
      </c>
      <c r="BT212" s="112" t="s">
        <v>1281</v>
      </c>
      <c r="BU212" s="112" t="s">
        <v>1281</v>
      </c>
      <c r="BV212" s="111">
        <f>E212</f>
        <v>36</v>
      </c>
      <c r="BW212" s="113">
        <f>I212</f>
        <v>63</v>
      </c>
      <c r="BX212" s="114">
        <f>M212</f>
        <v>67</v>
      </c>
      <c r="BY212" s="113">
        <f>Q212</f>
        <v>99</v>
      </c>
      <c r="BZ212" s="114">
        <f>U212</f>
        <v>103</v>
      </c>
      <c r="CA212" s="113" t="str">
        <f>Y212</f>
        <v>-</v>
      </c>
      <c r="CB212" s="114">
        <f>AC212</f>
        <v>145</v>
      </c>
      <c r="CC212" s="113">
        <f>AG212</f>
        <v>182</v>
      </c>
      <c r="CD212" s="114">
        <f>AK212</f>
        <v>188</v>
      </c>
      <c r="CE212" s="113">
        <f>AO212</f>
        <v>387</v>
      </c>
      <c r="CF212" s="114">
        <f>AS212</f>
        <v>425</v>
      </c>
      <c r="CG212" s="113">
        <f>AW212</f>
        <v>451</v>
      </c>
      <c r="CH212" s="111">
        <f>G212</f>
        <v>62</v>
      </c>
      <c r="CI212" s="113">
        <f>K212</f>
        <v>66</v>
      </c>
      <c r="CJ212" s="114">
        <f>O212</f>
        <v>98</v>
      </c>
      <c r="CK212" s="114">
        <f>S212</f>
        <v>102</v>
      </c>
      <c r="CL212" s="114">
        <f>W212</f>
        <v>138</v>
      </c>
      <c r="CM212" s="114" t="str">
        <f>AA212</f>
        <v>-</v>
      </c>
      <c r="CN212" s="114">
        <f>AE212</f>
        <v>173</v>
      </c>
      <c r="CO212" s="114">
        <f>AI212</f>
        <v>184</v>
      </c>
      <c r="CP212" s="114">
        <f>AM212</f>
        <v>222</v>
      </c>
      <c r="CQ212" s="114">
        <f>AQ212</f>
        <v>420</v>
      </c>
      <c r="CR212" s="114">
        <f>AU212</f>
        <v>450</v>
      </c>
      <c r="CS212" s="114">
        <f>AY212</f>
        <v>463</v>
      </c>
      <c r="CT212" s="109">
        <f>M212-K212</f>
        <v>1</v>
      </c>
    </row>
    <row r="213" spans="1:1029" x14ac:dyDescent="0.2">
      <c r="A213" s="3" t="str">
        <f t="shared" si="1007"/>
        <v>drd3_human__wt</v>
      </c>
      <c r="B213" s="3" t="s">
        <v>192</v>
      </c>
      <c r="C213" s="3" t="s">
        <v>100</v>
      </c>
      <c r="D213" s="3" t="str">
        <f>IFERROR(MID(VLOOKUP($B213,Seqs!$A:$B,2,0),E213,1),"")</f>
        <v>A</v>
      </c>
      <c r="E213" s="3">
        <v>26</v>
      </c>
      <c r="F213" s="3" t="str">
        <f>IFERROR(MID(VLOOKUP($B213,Seqs!$A:$B,2,0),G213,1),"")</f>
        <v>E</v>
      </c>
      <c r="G213" s="3">
        <v>57</v>
      </c>
      <c r="H213" s="3" t="str">
        <f>IFERROR(MID(VLOOKUP($B213,Seqs!$A:$B,2,0),I213,1),"")</f>
        <v>R</v>
      </c>
      <c r="I213" s="23">
        <v>58</v>
      </c>
      <c r="J213" s="3" t="str">
        <f>IFERROR(MID(VLOOKUP($B213,Seqs!$A:$B,2,0),K213,1),"")</f>
        <v>Q</v>
      </c>
      <c r="K213" s="23">
        <v>61</v>
      </c>
      <c r="L213" s="3" t="str">
        <f>IFERROR(MID(VLOOKUP($B213,Seqs!$A:$B,2,0),M213,1),"")</f>
        <v>T</v>
      </c>
      <c r="M213" s="3">
        <v>62</v>
      </c>
      <c r="N213" s="3" t="str">
        <f>IFERROR(MID(VLOOKUP($B213,Seqs!$A:$B,2,0),O213,1),"")</f>
        <v>T</v>
      </c>
      <c r="O213" s="3">
        <v>92</v>
      </c>
      <c r="P213" s="3" t="str">
        <f>IFERROR(MID(VLOOKUP($B213,Seqs!$A:$B,2,0),Q213,1),"")</f>
        <v>V</v>
      </c>
      <c r="Q213" s="3">
        <v>95</v>
      </c>
      <c r="R213" s="3" t="str">
        <f>IFERROR(MID(VLOOKUP($B213,Seqs!$A:$B,2,0),S213,1),"")</f>
        <v>F</v>
      </c>
      <c r="S213" s="3">
        <v>98</v>
      </c>
      <c r="T213" s="3" t="str">
        <f>IFERROR(MID(VLOOKUP($B213,Seqs!$A:$B,2,0),U213,1),"")</f>
        <v>S</v>
      </c>
      <c r="U213" s="3">
        <v>99</v>
      </c>
      <c r="V213" s="3" t="str">
        <f>IFERROR(MID(VLOOKUP($B213,Seqs!$A:$B,2,0),W213,1),"")</f>
        <v>M</v>
      </c>
      <c r="W213" s="3">
        <v>134</v>
      </c>
      <c r="X213" s="3" t="str">
        <f>IFERROR(MID(VLOOKUP($B213,Seqs!$A:$B,2,0),Y213,1),"")</f>
        <v>P</v>
      </c>
      <c r="Y213" s="3">
        <v>135</v>
      </c>
      <c r="Z213" s="3" t="str">
        <f>IFERROR(MID(VLOOKUP($B213,Seqs!$A:$B,2,0),AA213,1),"")</f>
        <v>G</v>
      </c>
      <c r="AA213" s="3">
        <v>143</v>
      </c>
      <c r="AB213" s="3" t="str">
        <f>IFERROR(MID(VLOOKUP($B213,Seqs!$A:$B,2,0),AC213,1),"")</f>
        <v>S</v>
      </c>
      <c r="AC213" s="3">
        <v>146</v>
      </c>
      <c r="AD213" s="3" t="str">
        <f>IFERROR(MID(VLOOKUP($B213,Seqs!$A:$B,2,0),AE213,1),"")</f>
        <v>G</v>
      </c>
      <c r="AE213" s="3">
        <v>171</v>
      </c>
      <c r="AF213" s="3" t="str">
        <f>IFERROR(MID(VLOOKUP($B213,Seqs!$A:$B,2,0),AG213,1),"")</f>
        <v>C</v>
      </c>
      <c r="AG213" s="3">
        <v>181</v>
      </c>
      <c r="AH213" s="3" t="str">
        <f>IFERROR(MID(VLOOKUP($B213,Seqs!$A:$B,2,0),AI213,1),"")</f>
        <v>I</v>
      </c>
      <c r="AI213" s="3">
        <v>183</v>
      </c>
      <c r="AJ213" s="3" t="str">
        <f>IFERROR(MID(VLOOKUP($B213,Seqs!$A:$B,2,0),AK213,1),"")</f>
        <v>N</v>
      </c>
      <c r="AK213" s="3">
        <v>185</v>
      </c>
      <c r="AL213" s="3" t="str">
        <f>IFERROR(MID(VLOOKUP($B213,Seqs!$A:$B,2,0),AM213,1),"")</f>
        <v>R</v>
      </c>
      <c r="AM213" s="3">
        <v>226</v>
      </c>
      <c r="AN213" s="3" t="str">
        <f>IFERROR(MID(VLOOKUP($B213,Seqs!$A:$B,2,0),AO213,1),"")</f>
        <v>R</v>
      </c>
      <c r="AO213" s="3">
        <v>318</v>
      </c>
      <c r="AP213" s="3" t="str">
        <f>IFERROR(MID(VLOOKUP($B213,Seqs!$A:$B,2,0),AQ213,1),"")</f>
        <v>H</v>
      </c>
      <c r="AQ213" s="3">
        <v>354</v>
      </c>
      <c r="AR213" s="3" t="str">
        <f>IFERROR(MID(VLOOKUP($B213,Seqs!$A:$B,2,0),AS213,1),"")</f>
        <v>S</v>
      </c>
      <c r="AS213" s="3">
        <v>361</v>
      </c>
      <c r="AT213" s="3" t="str">
        <f>IFERROR(MID(VLOOKUP($B213,Seqs!$A:$B,2,0),AU213,1),"")</f>
        <v>F</v>
      </c>
      <c r="AU213" s="3">
        <v>386</v>
      </c>
      <c r="AV213" s="3" t="str">
        <f>IFERROR(MID(VLOOKUP($B213,Seqs!$A:$B,2,0),AW213,1),"")</f>
        <v>N</v>
      </c>
      <c r="AW213" s="3">
        <v>387</v>
      </c>
      <c r="AX213" s="3" t="str">
        <f>IFERROR(MID(VLOOKUP($B213,Seqs!$A:$B,2,0),AY213,1),"")</f>
        <v>S</v>
      </c>
      <c r="AY213" s="3">
        <v>399</v>
      </c>
      <c r="AZ213" s="77" t="str">
        <f>VLOOKUP(B213,Classification!A:D,2,0)</f>
        <v>A</v>
      </c>
      <c r="BA213" s="94" t="str">
        <f>VLOOKUP(B213,Classification!A:D,4,0)</f>
        <v>Dopamine</v>
      </c>
      <c r="BB213" s="27" t="b">
        <f t="shared" si="1008"/>
        <v>1</v>
      </c>
      <c r="BC213" s="23">
        <f t="shared" si="1679"/>
        <v>263</v>
      </c>
      <c r="BD213" s="56" t="s">
        <v>23</v>
      </c>
      <c r="BE213" s="3" t="s">
        <v>23</v>
      </c>
      <c r="BF213" s="118" t="s">
        <v>23</v>
      </c>
      <c r="BG213" s="49" t="s">
        <v>1366</v>
      </c>
      <c r="BH213" s="49" t="s">
        <v>1371</v>
      </c>
      <c r="BI213" s="1"/>
      <c r="BJ213" s="70" t="s">
        <v>1281</v>
      </c>
      <c r="BK213" s="57" t="s">
        <v>1281</v>
      </c>
      <c r="BL213" s="57" t="s">
        <v>1281</v>
      </c>
      <c r="BM213" s="57" t="s">
        <v>1281</v>
      </c>
      <c r="BN213" s="57" t="s">
        <v>1281</v>
      </c>
      <c r="BO213" s="57" t="s">
        <v>1281</v>
      </c>
      <c r="BP213" s="57" t="s">
        <v>1281</v>
      </c>
      <c r="BQ213" s="57" t="s">
        <v>1281</v>
      </c>
      <c r="BR213" s="57" t="s">
        <v>1281</v>
      </c>
      <c r="BS213" s="57" t="s">
        <v>1281</v>
      </c>
      <c r="BT213" s="57" t="s">
        <v>1281</v>
      </c>
      <c r="BU213" s="57" t="s">
        <v>1281</v>
      </c>
      <c r="BV213" s="70">
        <f t="shared" si="1680"/>
        <v>26</v>
      </c>
      <c r="BW213" s="71">
        <f t="shared" si="1681"/>
        <v>58</v>
      </c>
      <c r="BX213" s="72">
        <f t="shared" si="1682"/>
        <v>62</v>
      </c>
      <c r="BY213" s="71">
        <f t="shared" si="1683"/>
        <v>95</v>
      </c>
      <c r="BZ213" s="72">
        <f t="shared" si="1684"/>
        <v>99</v>
      </c>
      <c r="CA213" s="71">
        <f t="shared" si="1685"/>
        <v>135</v>
      </c>
      <c r="CB213" s="72">
        <f t="shared" si="1686"/>
        <v>146</v>
      </c>
      <c r="CC213" s="71">
        <f t="shared" si="1687"/>
        <v>181</v>
      </c>
      <c r="CD213" s="72">
        <f t="shared" si="1688"/>
        <v>185</v>
      </c>
      <c r="CE213" s="71">
        <f t="shared" si="1689"/>
        <v>318</v>
      </c>
      <c r="CF213" s="72">
        <f t="shared" si="1690"/>
        <v>361</v>
      </c>
      <c r="CG213" s="71">
        <f t="shared" si="1691"/>
        <v>387</v>
      </c>
      <c r="CH213" s="70">
        <f t="shared" si="1692"/>
        <v>57</v>
      </c>
      <c r="CI213" s="71">
        <f t="shared" si="1693"/>
        <v>61</v>
      </c>
      <c r="CJ213" s="72">
        <f t="shared" si="1694"/>
        <v>92</v>
      </c>
      <c r="CK213" s="72">
        <f t="shared" si="1695"/>
        <v>98</v>
      </c>
      <c r="CL213" s="72">
        <f t="shared" si="1696"/>
        <v>134</v>
      </c>
      <c r="CM213" s="72">
        <f t="shared" si="1697"/>
        <v>143</v>
      </c>
      <c r="CN213" s="72">
        <f t="shared" si="1698"/>
        <v>171</v>
      </c>
      <c r="CO213" s="72">
        <f t="shared" si="1699"/>
        <v>183</v>
      </c>
      <c r="CP213" s="72">
        <f t="shared" si="1700"/>
        <v>226</v>
      </c>
      <c r="CQ213" s="72">
        <f t="shared" si="1701"/>
        <v>354</v>
      </c>
      <c r="CR213" s="72">
        <f t="shared" si="1702"/>
        <v>386</v>
      </c>
      <c r="CS213" s="72">
        <f t="shared" si="1703"/>
        <v>399</v>
      </c>
      <c r="CT213" s="23">
        <f t="shared" si="1704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si="1007"/>
        <v>drd3_human_3PBL</v>
      </c>
      <c r="B214" s="3" t="s">
        <v>192</v>
      </c>
      <c r="C214" s="3" t="s">
        <v>72</v>
      </c>
      <c r="D214" s="3" t="str">
        <f>IFERROR(MID(VLOOKUP($B214,Seqs!$A:$B,2,0),E214,1),"")</f>
        <v>Y</v>
      </c>
      <c r="E214" s="3">
        <v>32</v>
      </c>
      <c r="F214" s="3" t="str">
        <f>IFERROR(MID(VLOOKUP($B214,Seqs!$A:$B,2,0),G214,1),"")</f>
        <v>E</v>
      </c>
      <c r="G214" s="3">
        <v>57</v>
      </c>
      <c r="H214" s="3" t="str">
        <f>IFERROR(MID(VLOOKUP($B214,Seqs!$A:$B,2,0),I214,1),"")</f>
        <v>R</v>
      </c>
      <c r="I214" s="23">
        <v>58</v>
      </c>
      <c r="J214" s="3" t="str">
        <f>IFERROR(MID(VLOOKUP($B214,Seqs!$A:$B,2,0),K214,1),"")</f>
        <v>Q</v>
      </c>
      <c r="K214" s="23">
        <v>61</v>
      </c>
      <c r="L214" s="3" t="str">
        <f>IFERROR(MID(VLOOKUP($B214,Seqs!$A:$B,2,0),M214,1),"")</f>
        <v>T</v>
      </c>
      <c r="M214" s="3">
        <v>62</v>
      </c>
      <c r="N214" s="3" t="str">
        <f>IFERROR(MID(VLOOKUP($B214,Seqs!$A:$B,2,0),O214,1),"")</f>
        <v>T</v>
      </c>
      <c r="O214" s="3">
        <v>92</v>
      </c>
      <c r="P214" s="3" t="str">
        <f>IFERROR(MID(VLOOKUP($B214,Seqs!$A:$B,2,0),Q214,1),"")</f>
        <v>V</v>
      </c>
      <c r="Q214" s="3">
        <v>95</v>
      </c>
      <c r="R214" s="3" t="str">
        <f>IFERROR(MID(VLOOKUP($B214,Seqs!$A:$B,2,0),S214,1),"")</f>
        <v>F</v>
      </c>
      <c r="S214" s="3">
        <v>98</v>
      </c>
      <c r="T214" s="3" t="str">
        <f>IFERROR(MID(VLOOKUP($B214,Seqs!$A:$B,2,0),U214,1),"")</f>
        <v>S</v>
      </c>
      <c r="U214" s="3">
        <v>99</v>
      </c>
      <c r="V214" s="3" t="str">
        <f>IFERROR(MID(VLOOKUP($B214,Seqs!$A:$B,2,0),W214,1),"")</f>
        <v>M</v>
      </c>
      <c r="W214" s="3">
        <v>134</v>
      </c>
      <c r="X214" s="3" t="str">
        <f>IFERROR(MID(VLOOKUP($B214,Seqs!$A:$B,2,0),Y214,1),"")</f>
        <v>P</v>
      </c>
      <c r="Y214" s="3">
        <v>135</v>
      </c>
      <c r="Z214" s="3" t="str">
        <f>IFERROR(MID(VLOOKUP($B214,Seqs!$A:$B,2,0),AA214,1),"")</f>
        <v>G</v>
      </c>
      <c r="AA214" s="3">
        <v>143</v>
      </c>
      <c r="AB214" s="3" t="str">
        <f>IFERROR(MID(VLOOKUP($B214,Seqs!$A:$B,2,0),AC214,1),"")</f>
        <v>S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>C</v>
      </c>
      <c r="AG214" s="3">
        <v>181</v>
      </c>
      <c r="AH214" s="3" t="str">
        <f>IFERROR(MID(VLOOKUP($B214,Seqs!$A:$B,2,0),AI214,1),"")</f>
        <v>I</v>
      </c>
      <c r="AI214" s="3">
        <v>183</v>
      </c>
      <c r="AJ214" s="3" t="str">
        <f>IFERROR(MID(VLOOKUP($B214,Seqs!$A:$B,2,0),AK214,1),"")</f>
        <v>N</v>
      </c>
      <c r="AK214" s="3">
        <v>185</v>
      </c>
      <c r="AL214" s="3" t="str">
        <f>IFERROR(MID(VLOOKUP($B214,Seqs!$A:$B,2,0),AM214,1),"")</f>
        <v>K</v>
      </c>
      <c r="AM214" s="3">
        <v>216</v>
      </c>
      <c r="AN214" s="3" t="str">
        <f>IFERROR(MID(VLOOKUP($B214,Seqs!$A:$B,2,0),AO214,1),"")</f>
        <v>R</v>
      </c>
      <c r="AO214" s="3">
        <v>323</v>
      </c>
      <c r="AP214" s="3" t="str">
        <f>IFERROR(MID(VLOOKUP($B214,Seqs!$A:$B,2,0),AQ214,1),"")</f>
        <v>H</v>
      </c>
      <c r="AQ214" s="3">
        <v>354</v>
      </c>
      <c r="AR214" s="3" t="str">
        <f>IFERROR(MID(VLOOKUP($B214,Seqs!$A:$B,2,0),AS214,1),"")</f>
        <v>S</v>
      </c>
      <c r="AS214" s="3">
        <v>361</v>
      </c>
      <c r="AT214" s="3" t="str">
        <f>IFERROR(MID(VLOOKUP($B214,Seqs!$A:$B,2,0),AU214,1),"")</f>
        <v>F</v>
      </c>
      <c r="AU214" s="3">
        <v>386</v>
      </c>
      <c r="AV214" s="3" t="str">
        <f>IFERROR(MID(VLOOKUP($B214,Seqs!$A:$B,2,0),AW214,1),"")</f>
        <v>N</v>
      </c>
      <c r="AW214" s="3">
        <v>387</v>
      </c>
      <c r="AX214" s="3" t="str">
        <f>IFERROR(MID(VLOOKUP($B214,Seqs!$A:$B,2,0),AY214,1),"")</f>
        <v>S</v>
      </c>
      <c r="AY214" s="3">
        <v>399</v>
      </c>
      <c r="AZ214" s="77" t="str">
        <f>VLOOKUP(B214,Classification!A:D,2,0)</f>
        <v>A</v>
      </c>
      <c r="BA214" s="94" t="str">
        <f>VLOOKUP(B214,Classification!A:D,4,0)</f>
        <v>Dopamine</v>
      </c>
      <c r="BB214" s="27" t="b">
        <f t="shared" si="1008"/>
        <v>1</v>
      </c>
      <c r="BC214" s="23">
        <f t="shared" si="1679"/>
        <v>242</v>
      </c>
      <c r="BD214" s="2" t="s">
        <v>1370</v>
      </c>
      <c r="BE214" s="3" t="s">
        <v>1368</v>
      </c>
      <c r="BF214" s="118">
        <v>2.89</v>
      </c>
      <c r="BG214" s="49" t="s">
        <v>1371</v>
      </c>
      <c r="BH214" s="49" t="s">
        <v>1371</v>
      </c>
      <c r="BI214" s="1"/>
      <c r="BJ214" s="70" t="s">
        <v>1281</v>
      </c>
      <c r="BK214" s="57" t="s">
        <v>1281</v>
      </c>
      <c r="BL214" s="57" t="s">
        <v>1281</v>
      </c>
      <c r="BM214" s="57" t="s">
        <v>1281</v>
      </c>
      <c r="BN214" s="57" t="s">
        <v>1281</v>
      </c>
      <c r="BO214" s="57" t="s">
        <v>1281</v>
      </c>
      <c r="BP214" s="57" t="s">
        <v>1281</v>
      </c>
      <c r="BQ214" s="57" t="s">
        <v>1281</v>
      </c>
      <c r="BR214" s="57" t="s">
        <v>1281</v>
      </c>
      <c r="BS214" s="57" t="s">
        <v>1281</v>
      </c>
      <c r="BT214" s="57" t="s">
        <v>1281</v>
      </c>
      <c r="BU214" s="57" t="s">
        <v>1281</v>
      </c>
      <c r="BV214" s="70">
        <f t="shared" si="1680"/>
        <v>32</v>
      </c>
      <c r="BW214" s="71">
        <f t="shared" si="1681"/>
        <v>58</v>
      </c>
      <c r="BX214" s="72">
        <f t="shared" si="1682"/>
        <v>62</v>
      </c>
      <c r="BY214" s="71">
        <f t="shared" si="1683"/>
        <v>95</v>
      </c>
      <c r="BZ214" s="72">
        <f t="shared" si="1684"/>
        <v>99</v>
      </c>
      <c r="CA214" s="71">
        <f t="shared" si="1685"/>
        <v>135</v>
      </c>
      <c r="CB214" s="72">
        <f t="shared" si="1686"/>
        <v>146</v>
      </c>
      <c r="CC214" s="71">
        <f t="shared" si="1687"/>
        <v>181</v>
      </c>
      <c r="CD214" s="72">
        <f t="shared" si="1688"/>
        <v>185</v>
      </c>
      <c r="CE214" s="71">
        <f t="shared" si="1689"/>
        <v>323</v>
      </c>
      <c r="CF214" s="72">
        <f t="shared" si="1690"/>
        <v>361</v>
      </c>
      <c r="CG214" s="71">
        <f t="shared" si="1691"/>
        <v>387</v>
      </c>
      <c r="CH214" s="70">
        <f t="shared" si="1692"/>
        <v>57</v>
      </c>
      <c r="CI214" s="71">
        <f t="shared" si="1693"/>
        <v>61</v>
      </c>
      <c r="CJ214" s="72">
        <f t="shared" si="1694"/>
        <v>92</v>
      </c>
      <c r="CK214" s="72">
        <f t="shared" si="1695"/>
        <v>98</v>
      </c>
      <c r="CL214" s="72">
        <f t="shared" si="1696"/>
        <v>134</v>
      </c>
      <c r="CM214" s="72">
        <f t="shared" si="1697"/>
        <v>143</v>
      </c>
      <c r="CN214" s="72">
        <f t="shared" si="1698"/>
        <v>171</v>
      </c>
      <c r="CO214" s="72">
        <f t="shared" si="1699"/>
        <v>183</v>
      </c>
      <c r="CP214" s="72">
        <f t="shared" si="1700"/>
        <v>216</v>
      </c>
      <c r="CQ214" s="72">
        <f t="shared" si="1701"/>
        <v>354</v>
      </c>
      <c r="CR214" s="72">
        <f t="shared" si="1702"/>
        <v>386</v>
      </c>
      <c r="CS214" s="72">
        <f t="shared" si="1703"/>
        <v>399</v>
      </c>
      <c r="CT214" s="23">
        <f t="shared" si="1704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drd4_human__wt</v>
      </c>
      <c r="B215" s="3" t="s">
        <v>193</v>
      </c>
      <c r="C215" s="3" t="s">
        <v>100</v>
      </c>
      <c r="D215" s="3" t="str">
        <f>IFERROR(MID(VLOOKUP($B215,Seqs!$A:$B,2,0),E215,1),"")</f>
        <v>A</v>
      </c>
      <c r="E215" s="3">
        <v>31</v>
      </c>
      <c r="F215" s="3" t="str">
        <f>IFERROR(MID(VLOOKUP($B215,Seqs!$A:$B,2,0),G215,1),"")</f>
        <v>E</v>
      </c>
      <c r="G215" s="3">
        <v>62</v>
      </c>
      <c r="H215" s="3" t="str">
        <f>IFERROR(MID(VLOOKUP($B215,Seqs!$A:$B,2,0),I215,1),"")</f>
        <v>R</v>
      </c>
      <c r="I215" s="23">
        <v>63</v>
      </c>
      <c r="J215" s="3" t="str">
        <f>IFERROR(MID(VLOOKUP($B215,Seqs!$A:$B,2,0),K215,1),"")</f>
        <v>Q</v>
      </c>
      <c r="K215" s="23">
        <v>66</v>
      </c>
      <c r="L215" s="3" t="str">
        <f>IFERROR(MID(VLOOKUP($B215,Seqs!$A:$B,2,0),M215,1),"")</f>
        <v>T</v>
      </c>
      <c r="M215" s="3">
        <v>67</v>
      </c>
      <c r="N215" s="3" t="str">
        <f>IFERROR(MID(VLOOKUP($B215,Seqs!$A:$B,2,0),O215,1),"")</f>
        <v>Q</v>
      </c>
      <c r="O215" s="3">
        <v>97</v>
      </c>
      <c r="P215" s="3" t="str">
        <f>IFERROR(MID(VLOOKUP($B215,Seqs!$A:$B,2,0),Q215,1),"")</f>
        <v>A</v>
      </c>
      <c r="Q215" s="3">
        <v>100</v>
      </c>
      <c r="R215" s="3" t="str">
        <f>IFERROR(MID(VLOOKUP($B215,Seqs!$A:$B,2,0),S215,1),"")</f>
        <v>L</v>
      </c>
      <c r="S215" s="3">
        <v>103</v>
      </c>
      <c r="T215" s="3" t="str">
        <f>IFERROR(MID(VLOOKUP($B215,Seqs!$A:$B,2,0),U215,1),"")</f>
        <v>S</v>
      </c>
      <c r="U215" s="3">
        <v>104</v>
      </c>
      <c r="V215" s="3" t="str">
        <f>IFERROR(MID(VLOOKUP($B215,Seqs!$A:$B,2,0),W215,1),"")</f>
        <v>V</v>
      </c>
      <c r="W215" s="3">
        <v>139</v>
      </c>
      <c r="X215" s="3" t="str">
        <f>IFERROR(MID(VLOOKUP($B215,Seqs!$A:$B,2,0),Y215,1),"")</f>
        <v>P</v>
      </c>
      <c r="Y215" s="3">
        <v>140</v>
      </c>
      <c r="Z215" s="3" t="str">
        <f>IFERROR(MID(VLOOKUP($B215,Seqs!$A:$B,2,0),AA215,1),"")</f>
        <v>G</v>
      </c>
      <c r="AA215" s="3">
        <v>147</v>
      </c>
      <c r="AB215" s="3" t="str">
        <f>IFERROR(MID(VLOOKUP($B215,Seqs!$A:$B,2,0),AC215,1),"")</f>
        <v>G</v>
      </c>
      <c r="AC215" s="3">
        <v>148</v>
      </c>
      <c r="AD215" s="3" t="str">
        <f>IFERROR(MID(VLOOKUP($B215,Seqs!$A:$B,2,0),AE215,1),"")</f>
        <v>G</v>
      </c>
      <c r="AE215" s="3">
        <v>173</v>
      </c>
      <c r="AF215" s="3" t="str">
        <f>IFERROR(MID(VLOOKUP($B215,Seqs!$A:$B,2,0),AG215,1),"")</f>
        <v>C</v>
      </c>
      <c r="AG215" s="3">
        <v>185</v>
      </c>
      <c r="AH215" s="3" t="str">
        <f>IFERROR(MID(VLOOKUP($B215,Seqs!$A:$B,2,0),AI215,1),"")</f>
        <v>L</v>
      </c>
      <c r="AI215" s="3">
        <v>187</v>
      </c>
      <c r="AJ215" s="3" t="str">
        <f>IFERROR(MID(VLOOKUP($B215,Seqs!$A:$B,2,0),AK215,1),"")</f>
        <v>D</v>
      </c>
      <c r="AK215" s="3">
        <v>189</v>
      </c>
      <c r="AL215" s="3" t="str">
        <f>IFERROR(MID(VLOOKUP($B215,Seqs!$A:$B,2,0),AM215,1),"")</f>
        <v>K</v>
      </c>
      <c r="AM215" s="3">
        <v>229</v>
      </c>
      <c r="AN215" s="3" t="str">
        <f>IFERROR(MID(VLOOKUP($B215,Seqs!$A:$B,2,0),AO215,1),"")</f>
        <v>A</v>
      </c>
      <c r="AO215" s="3">
        <v>383</v>
      </c>
      <c r="AP215" s="3" t="str">
        <f>IFERROR(MID(VLOOKUP($B215,Seqs!$A:$B,2,0),AQ215,1),"")</f>
        <v>C</v>
      </c>
      <c r="AQ215" s="3">
        <v>420</v>
      </c>
      <c r="AR215" s="3" t="str">
        <f>IFERROR(MID(VLOOKUP($B215,Seqs!$A:$B,2,0),AS215,1),"")</f>
        <v>P</v>
      </c>
      <c r="AS215" s="3">
        <v>426</v>
      </c>
      <c r="AT215" s="3" t="str">
        <f>IFERROR(MID(VLOOKUP($B215,Seqs!$A:$B,2,0),AU215,1),"")</f>
        <v>F</v>
      </c>
      <c r="AU215" s="3">
        <v>451</v>
      </c>
      <c r="AV215" s="3" t="str">
        <f>IFERROR(MID(VLOOKUP($B215,Seqs!$A:$B,2,0),AW215,1),"")</f>
        <v>N</v>
      </c>
      <c r="AW215" s="3">
        <v>452</v>
      </c>
      <c r="AX215" s="3" t="str">
        <f>IFERROR(MID(VLOOKUP($B215,Seqs!$A:$B,2,0),AY215,1),"")</f>
        <v>R</v>
      </c>
      <c r="AY215" s="3">
        <v>464</v>
      </c>
      <c r="AZ215" s="77" t="str">
        <f>VLOOKUP(B215,Classification!A:D,2,0)</f>
        <v>A</v>
      </c>
      <c r="BA215" s="94" t="str">
        <f>VLOOKUP(B215,Classification!A:D,4,0)</f>
        <v>Dopamine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262</v>
      </c>
      <c r="BD215" s="2" t="s">
        <v>23</v>
      </c>
      <c r="BE215" s="3" t="s">
        <v>1368</v>
      </c>
      <c r="BF215" s="118" t="s">
        <v>23</v>
      </c>
      <c r="BG215" s="49" t="s">
        <v>1371</v>
      </c>
      <c r="BH215" s="49" t="s">
        <v>1371</v>
      </c>
      <c r="BI215" s="1"/>
      <c r="BJ215" s="70" t="s">
        <v>1281</v>
      </c>
      <c r="BK215" s="57" t="s">
        <v>1281</v>
      </c>
      <c r="BL215" s="57" t="s">
        <v>1281</v>
      </c>
      <c r="BM215" s="57" t="s">
        <v>1281</v>
      </c>
      <c r="BN215" s="57" t="s">
        <v>1281</v>
      </c>
      <c r="BO215" s="57" t="s">
        <v>1281</v>
      </c>
      <c r="BP215" s="57" t="s">
        <v>1281</v>
      </c>
      <c r="BQ215" s="57" t="s">
        <v>1281</v>
      </c>
      <c r="BR215" s="57" t="s">
        <v>1281</v>
      </c>
      <c r="BS215" s="57" t="s">
        <v>1281</v>
      </c>
      <c r="BT215" s="57" t="s">
        <v>1281</v>
      </c>
      <c r="BU215" s="57" t="s">
        <v>1281</v>
      </c>
      <c r="BV215" s="70">
        <f>E215</f>
        <v>31</v>
      </c>
      <c r="BW215" s="71">
        <f>I215</f>
        <v>63</v>
      </c>
      <c r="BX215" s="72">
        <f>M215</f>
        <v>67</v>
      </c>
      <c r="BY215" s="71">
        <f>Q215</f>
        <v>100</v>
      </c>
      <c r="BZ215" s="72">
        <f>U215</f>
        <v>104</v>
      </c>
      <c r="CA215" s="71">
        <f>Y215</f>
        <v>140</v>
      </c>
      <c r="CB215" s="72">
        <f>AC215</f>
        <v>148</v>
      </c>
      <c r="CC215" s="71">
        <f>AG215</f>
        <v>185</v>
      </c>
      <c r="CD215" s="72">
        <f>AK215</f>
        <v>189</v>
      </c>
      <c r="CE215" s="71">
        <f>AO215</f>
        <v>383</v>
      </c>
      <c r="CF215" s="72">
        <f>AS215</f>
        <v>426</v>
      </c>
      <c r="CG215" s="71">
        <f>AW215</f>
        <v>452</v>
      </c>
      <c r="CH215" s="70">
        <f>G215</f>
        <v>62</v>
      </c>
      <c r="CI215" s="71">
        <f>K215</f>
        <v>66</v>
      </c>
      <c r="CJ215" s="72">
        <f>O215</f>
        <v>97</v>
      </c>
      <c r="CK215" s="72">
        <f>S215</f>
        <v>103</v>
      </c>
      <c r="CL215" s="72">
        <f>W215</f>
        <v>139</v>
      </c>
      <c r="CM215" s="72">
        <f>AA215</f>
        <v>147</v>
      </c>
      <c r="CN215" s="72">
        <f>AE215</f>
        <v>173</v>
      </c>
      <c r="CO215" s="72">
        <f>AI215</f>
        <v>187</v>
      </c>
      <c r="CP215" s="72">
        <f>AM215</f>
        <v>229</v>
      </c>
      <c r="CQ215" s="72">
        <f>AQ215</f>
        <v>420</v>
      </c>
      <c r="CR215" s="72">
        <f>AU215</f>
        <v>451</v>
      </c>
      <c r="CS215" s="72">
        <f>AY215</f>
        <v>464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drd4_human_5WIU</v>
      </c>
      <c r="B216" s="3" t="s">
        <v>193</v>
      </c>
      <c r="C216" s="3" t="s">
        <v>1438</v>
      </c>
      <c r="D216" s="3" t="str">
        <f>IFERROR(MID(VLOOKUP($B216,Seqs!$A:$B,2,0),E216,1),"")</f>
        <v>G</v>
      </c>
      <c r="E216" s="3">
        <v>34</v>
      </c>
      <c r="F216" s="3" t="str">
        <f>IFERROR(MID(VLOOKUP($B216,Seqs!$A:$B,2,0),G216,1),"")</f>
        <v>E</v>
      </c>
      <c r="G216" s="3">
        <v>62</v>
      </c>
      <c r="H216" s="3" t="str">
        <f>IFERROR(MID(VLOOKUP($B216,Seqs!$A:$B,2,0),I216,1),"")</f>
        <v>R</v>
      </c>
      <c r="I216" s="23">
        <v>63</v>
      </c>
      <c r="J216" s="3" t="str">
        <f>IFERROR(MID(VLOOKUP($B216,Seqs!$A:$B,2,0),K216,1),"")</f>
        <v>Q</v>
      </c>
      <c r="K216" s="23">
        <v>66</v>
      </c>
      <c r="L216" s="3" t="str">
        <f>IFERROR(MID(VLOOKUP($B216,Seqs!$A:$B,2,0),M216,1),"")</f>
        <v>T</v>
      </c>
      <c r="M216" s="3">
        <v>67</v>
      </c>
      <c r="N216" s="3" t="str">
        <f>IFERROR(MID(VLOOKUP($B216,Seqs!$A:$B,2,0),O216,1),"")</f>
        <v>Q</v>
      </c>
      <c r="O216" s="3">
        <v>97</v>
      </c>
      <c r="P216" s="3" t="str">
        <f>IFERROR(MID(VLOOKUP($B216,Seqs!$A:$B,2,0),Q216,1),"")</f>
        <v>A</v>
      </c>
      <c r="Q216" s="3">
        <v>100</v>
      </c>
      <c r="R216" s="3" t="str">
        <f>IFERROR(MID(VLOOKUP($B216,Seqs!$A:$B,2,0),S216,1),"")</f>
        <v>L</v>
      </c>
      <c r="S216" s="3">
        <v>103</v>
      </c>
      <c r="T216" s="3" t="str">
        <f>IFERROR(MID(VLOOKUP($B216,Seqs!$A:$B,2,0),U216,1),"")</f>
        <v>S</v>
      </c>
      <c r="U216" s="3">
        <v>104</v>
      </c>
      <c r="V216" s="3" t="str">
        <f>IFERROR(MID(VLOOKUP($B216,Seqs!$A:$B,2,0),W216,1),"")</f>
        <v>V</v>
      </c>
      <c r="W216" s="3">
        <v>139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150</v>
      </c>
      <c r="AD216" s="3" t="str">
        <f>IFERROR(MID(VLOOKUP($B216,Seqs!$A:$B,2,0),AE216,1),"")</f>
        <v>G</v>
      </c>
      <c r="AE216" s="3">
        <v>173</v>
      </c>
      <c r="AF216" s="3" t="str">
        <f>IFERROR(MID(VLOOKUP($B216,Seqs!$A:$B,2,0),AG216,1),"")</f>
        <v>C</v>
      </c>
      <c r="AG216" s="3">
        <v>185</v>
      </c>
      <c r="AH216" s="3" t="str">
        <f>IFERROR(MID(VLOOKUP($B216,Seqs!$A:$B,2,0),AI216,1),"")</f>
        <v>L</v>
      </c>
      <c r="AI216" s="3">
        <v>187</v>
      </c>
      <c r="AJ216" s="3" t="str">
        <f>IFERROR(MID(VLOOKUP($B216,Seqs!$A:$B,2,0),AK216,1),"")</f>
        <v>D</v>
      </c>
      <c r="AK216" s="3">
        <v>189</v>
      </c>
      <c r="AL216" s="3" t="str">
        <f>IFERROR(MID(VLOOKUP($B216,Seqs!$A:$B,2,0),AM216,1),"")</f>
        <v>W</v>
      </c>
      <c r="AM216" s="3">
        <v>222</v>
      </c>
      <c r="AN216" s="3" t="str">
        <f>IFERROR(MID(VLOOKUP($B216,Seqs!$A:$B,2,0),AO216,1),"")</f>
        <v>V</v>
      </c>
      <c r="AO216" s="3">
        <v>395</v>
      </c>
      <c r="AP216" s="3" t="str">
        <f>IFERROR(MID(VLOOKUP($B216,Seqs!$A:$B,2,0),AQ216,1),"")</f>
        <v>C</v>
      </c>
      <c r="AQ216" s="3">
        <v>420</v>
      </c>
      <c r="AR216" s="3" t="str">
        <f>IFERROR(MID(VLOOKUP($B216,Seqs!$A:$B,2,0),AS216,1),"")</f>
        <v>P</v>
      </c>
      <c r="AS216" s="3">
        <v>426</v>
      </c>
      <c r="AT216" s="3" t="str">
        <f>IFERROR(MID(VLOOKUP($B216,Seqs!$A:$B,2,0),AU216,1),"")</f>
        <v>F</v>
      </c>
      <c r="AU216" s="3">
        <v>451</v>
      </c>
      <c r="AV216" s="3" t="str">
        <f>IFERROR(MID(VLOOKUP($B216,Seqs!$A:$B,2,0),AW216,1),"")</f>
        <v>N</v>
      </c>
      <c r="AW216" s="3">
        <v>452</v>
      </c>
      <c r="AX216" s="3" t="str">
        <f>IFERROR(MID(VLOOKUP($B216,Seqs!$A:$B,2,0),AY216,1),"")</f>
        <v>R</v>
      </c>
      <c r="AY216" s="3">
        <v>460</v>
      </c>
      <c r="AZ216" s="77" t="str">
        <f>VLOOKUP(B216,Classification!A:D,2,0)</f>
        <v>A</v>
      </c>
      <c r="BA216" s="94" t="str">
        <f>VLOOKUP(B216,Classification!A:D,4,0)</f>
        <v>Dopamine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227</v>
      </c>
      <c r="BD216" s="2" t="s">
        <v>23</v>
      </c>
      <c r="BE216" s="3" t="s">
        <v>1368</v>
      </c>
      <c r="BF216" s="118">
        <v>1.96</v>
      </c>
      <c r="BG216" s="49" t="s">
        <v>1</v>
      </c>
      <c r="BH216" s="49" t="s">
        <v>1371</v>
      </c>
      <c r="BI216" s="1"/>
      <c r="BJ216" s="70" t="s">
        <v>1281</v>
      </c>
      <c r="BK216" s="57" t="s">
        <v>1281</v>
      </c>
      <c r="BL216" s="57" t="s">
        <v>1281</v>
      </c>
      <c r="BM216" s="57" t="s">
        <v>1281</v>
      </c>
      <c r="BN216" s="57" t="s">
        <v>1281</v>
      </c>
      <c r="BO216" s="57" t="s">
        <v>1281</v>
      </c>
      <c r="BP216" s="57" t="s">
        <v>1281</v>
      </c>
      <c r="BQ216" s="57" t="s">
        <v>1281</v>
      </c>
      <c r="BR216" s="57" t="s">
        <v>1281</v>
      </c>
      <c r="BS216" s="57" t="s">
        <v>1281</v>
      </c>
      <c r="BT216" s="57" t="s">
        <v>1281</v>
      </c>
      <c r="BU216" s="57" t="s">
        <v>1281</v>
      </c>
      <c r="BV216" s="70">
        <f>E216</f>
        <v>34</v>
      </c>
      <c r="BW216" s="71">
        <f>I216</f>
        <v>63</v>
      </c>
      <c r="BX216" s="72">
        <f>M216</f>
        <v>67</v>
      </c>
      <c r="BY216" s="71">
        <f>Q216</f>
        <v>100</v>
      </c>
      <c r="BZ216" s="72">
        <f>U216</f>
        <v>104</v>
      </c>
      <c r="CA216" s="71" t="str">
        <f>Y216</f>
        <v>-</v>
      </c>
      <c r="CB216" s="72">
        <f>AC216</f>
        <v>150</v>
      </c>
      <c r="CC216" s="71">
        <f>AG216</f>
        <v>185</v>
      </c>
      <c r="CD216" s="72">
        <f>AK216</f>
        <v>189</v>
      </c>
      <c r="CE216" s="71">
        <f>AO216</f>
        <v>395</v>
      </c>
      <c r="CF216" s="72">
        <f>AS216</f>
        <v>426</v>
      </c>
      <c r="CG216" s="71">
        <f>AW216</f>
        <v>452</v>
      </c>
      <c r="CH216" s="70">
        <f>G216</f>
        <v>62</v>
      </c>
      <c r="CI216" s="71">
        <f>K216</f>
        <v>66</v>
      </c>
      <c r="CJ216" s="72">
        <f>O216</f>
        <v>97</v>
      </c>
      <c r="CK216" s="72">
        <f>S216</f>
        <v>103</v>
      </c>
      <c r="CL216" s="72">
        <f>W216</f>
        <v>139</v>
      </c>
      <c r="CM216" s="72" t="str">
        <f>AA216</f>
        <v>-</v>
      </c>
      <c r="CN216" s="72">
        <f>AE216</f>
        <v>173</v>
      </c>
      <c r="CO216" s="72">
        <f>AI216</f>
        <v>187</v>
      </c>
      <c r="CP216" s="72">
        <f>AM216</f>
        <v>222</v>
      </c>
      <c r="CQ216" s="72">
        <f>AQ216</f>
        <v>420</v>
      </c>
      <c r="CR216" s="72">
        <f>AU216</f>
        <v>451</v>
      </c>
      <c r="CS216" s="72">
        <f>AY216</f>
        <v>460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drd4_human_5WIV</v>
      </c>
      <c r="B217" s="3" t="s">
        <v>193</v>
      </c>
      <c r="C217" s="3" t="s">
        <v>1440</v>
      </c>
      <c r="D217" s="3" t="str">
        <f>IFERROR(MID(VLOOKUP($B217,Seqs!$A:$B,2,0),E217,1),"")</f>
        <v>G</v>
      </c>
      <c r="E217" s="3">
        <v>32</v>
      </c>
      <c r="F217" s="3" t="str">
        <f>IFERROR(MID(VLOOKUP($B217,Seqs!$A:$B,2,0),G217,1),"")</f>
        <v>E</v>
      </c>
      <c r="G217" s="3">
        <v>62</v>
      </c>
      <c r="H217" s="3" t="str">
        <f>IFERROR(MID(VLOOKUP($B217,Seqs!$A:$B,2,0),I217,1),"")</f>
        <v>R</v>
      </c>
      <c r="I217" s="23">
        <v>63</v>
      </c>
      <c r="J217" s="3" t="str">
        <f>IFERROR(MID(VLOOKUP($B217,Seqs!$A:$B,2,0),K217,1),"")</f>
        <v>Q</v>
      </c>
      <c r="K217" s="23">
        <v>66</v>
      </c>
      <c r="L217" s="3" t="str">
        <f>IFERROR(MID(VLOOKUP($B217,Seqs!$A:$B,2,0),M217,1),"")</f>
        <v>T</v>
      </c>
      <c r="M217" s="3">
        <v>67</v>
      </c>
      <c r="N217" s="3" t="str">
        <f>IFERROR(MID(VLOOKUP($B217,Seqs!$A:$B,2,0),O217,1),"")</f>
        <v>Q</v>
      </c>
      <c r="O217" s="3">
        <v>97</v>
      </c>
      <c r="P217" s="3" t="str">
        <f>IFERROR(MID(VLOOKUP($B217,Seqs!$A:$B,2,0),Q217,1),"")</f>
        <v>A</v>
      </c>
      <c r="Q217" s="3">
        <v>100</v>
      </c>
      <c r="R217" s="3" t="str">
        <f>IFERROR(MID(VLOOKUP($B217,Seqs!$A:$B,2,0),S217,1),"")</f>
        <v>L</v>
      </c>
      <c r="S217" s="3">
        <v>103</v>
      </c>
      <c r="T217" s="3" t="str">
        <f>IFERROR(MID(VLOOKUP($B217,Seqs!$A:$B,2,0),U217,1),"")</f>
        <v>S</v>
      </c>
      <c r="U217" s="3">
        <v>104</v>
      </c>
      <c r="V217" s="3" t="str">
        <f>IFERROR(MID(VLOOKUP($B217,Seqs!$A:$B,2,0),W217,1),"")</f>
        <v>V</v>
      </c>
      <c r="W217" s="3">
        <v>139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150</v>
      </c>
      <c r="AD217" s="3" t="str">
        <f>IFERROR(MID(VLOOKUP($B217,Seqs!$A:$B,2,0),AE217,1),"")</f>
        <v>G</v>
      </c>
      <c r="AE217" s="3">
        <v>173</v>
      </c>
      <c r="AF217" s="3" t="str">
        <f>IFERROR(MID(VLOOKUP($B217,Seqs!$A:$B,2,0),AG217,1),"")</f>
        <v>C</v>
      </c>
      <c r="AG217" s="3">
        <v>185</v>
      </c>
      <c r="AH217" s="3" t="str">
        <f>IFERROR(MID(VLOOKUP($B217,Seqs!$A:$B,2,0),AI217,1),"")</f>
        <v>L</v>
      </c>
      <c r="AI217" s="3">
        <v>187</v>
      </c>
      <c r="AJ217" s="3" t="str">
        <f>IFERROR(MID(VLOOKUP($B217,Seqs!$A:$B,2,0),AK217,1),"")</f>
        <v>D</v>
      </c>
      <c r="AK217" s="3">
        <v>189</v>
      </c>
      <c r="AL217" s="3" t="str">
        <f>IFERROR(MID(VLOOKUP($B217,Seqs!$A:$B,2,0),AM217,1),"")</f>
        <v>W</v>
      </c>
      <c r="AM217" s="3">
        <v>222</v>
      </c>
      <c r="AN217" s="3" t="str">
        <f>IFERROR(MID(VLOOKUP($B217,Seqs!$A:$B,2,0),AO217,1),"")</f>
        <v>V</v>
      </c>
      <c r="AO217" s="3">
        <v>395</v>
      </c>
      <c r="AP217" s="3" t="str">
        <f>IFERROR(MID(VLOOKUP($B217,Seqs!$A:$B,2,0),AQ217,1),"")</f>
        <v>C</v>
      </c>
      <c r="AQ217" s="3">
        <v>420</v>
      </c>
      <c r="AR217" s="3" t="str">
        <f>IFERROR(MID(VLOOKUP($B217,Seqs!$A:$B,2,0),AS217,1),"")</f>
        <v>P</v>
      </c>
      <c r="AS217" s="3">
        <v>426</v>
      </c>
      <c r="AT217" s="3" t="str">
        <f>IFERROR(MID(VLOOKUP($B217,Seqs!$A:$B,2,0),AU217,1),"")</f>
        <v>F</v>
      </c>
      <c r="AU217" s="3">
        <v>451</v>
      </c>
      <c r="AV217" s="3" t="str">
        <f>IFERROR(MID(VLOOKUP($B217,Seqs!$A:$B,2,0),AW217,1),"")</f>
        <v>N</v>
      </c>
      <c r="AW217" s="3">
        <v>452</v>
      </c>
      <c r="AX217" s="3" t="str">
        <f>IFERROR(MID(VLOOKUP($B217,Seqs!$A:$B,2,0),AY217,1),"")</f>
        <v>A</v>
      </c>
      <c r="AY217" s="3">
        <v>462</v>
      </c>
      <c r="AZ217" s="77" t="str">
        <f>VLOOKUP(B217,Classification!A:D,2,0)</f>
        <v>A</v>
      </c>
      <c r="BA217" s="94" t="str">
        <f>VLOOKUP(B217,Classification!A:D,4,0)</f>
        <v>Dopamine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231</v>
      </c>
      <c r="BD217" s="2" t="s">
        <v>1370</v>
      </c>
      <c r="BE217" s="3" t="s">
        <v>1368</v>
      </c>
      <c r="BF217" s="118">
        <v>2.14</v>
      </c>
      <c r="BG217" s="49" t="s">
        <v>1</v>
      </c>
      <c r="BH217" s="49" t="s">
        <v>1371</v>
      </c>
      <c r="BI217" s="1"/>
      <c r="BJ217" s="70" t="s">
        <v>1281</v>
      </c>
      <c r="BK217" s="57" t="s">
        <v>1281</v>
      </c>
      <c r="BL217" s="57" t="s">
        <v>1281</v>
      </c>
      <c r="BM217" s="57" t="s">
        <v>1281</v>
      </c>
      <c r="BN217" s="57" t="s">
        <v>1281</v>
      </c>
      <c r="BO217" s="57" t="s">
        <v>1281</v>
      </c>
      <c r="BP217" s="57" t="s">
        <v>1281</v>
      </c>
      <c r="BQ217" s="57" t="s">
        <v>1281</v>
      </c>
      <c r="BR217" s="57" t="s">
        <v>1281</v>
      </c>
      <c r="BS217" s="57" t="s">
        <v>1281</v>
      </c>
      <c r="BT217" s="57" t="s">
        <v>1281</v>
      </c>
      <c r="BU217" s="57" t="s">
        <v>1281</v>
      </c>
      <c r="BV217" s="70">
        <f>E217</f>
        <v>32</v>
      </c>
      <c r="BW217" s="71">
        <f>I217</f>
        <v>63</v>
      </c>
      <c r="BX217" s="72">
        <f>M217</f>
        <v>67</v>
      </c>
      <c r="BY217" s="71">
        <f>Q217</f>
        <v>100</v>
      </c>
      <c r="BZ217" s="72">
        <f>U217</f>
        <v>104</v>
      </c>
      <c r="CA217" s="71" t="str">
        <f>Y217</f>
        <v>-</v>
      </c>
      <c r="CB217" s="72">
        <f>AC217</f>
        <v>150</v>
      </c>
      <c r="CC217" s="71">
        <f>AG217</f>
        <v>185</v>
      </c>
      <c r="CD217" s="72">
        <f>AK217</f>
        <v>189</v>
      </c>
      <c r="CE217" s="71">
        <f>AO217</f>
        <v>395</v>
      </c>
      <c r="CF217" s="72">
        <f>AS217</f>
        <v>426</v>
      </c>
      <c r="CG217" s="71">
        <f>AW217</f>
        <v>452</v>
      </c>
      <c r="CH217" s="70">
        <f>G217</f>
        <v>62</v>
      </c>
      <c r="CI217" s="71">
        <f>K217</f>
        <v>66</v>
      </c>
      <c r="CJ217" s="72">
        <f>O217</f>
        <v>97</v>
      </c>
      <c r="CK217" s="72">
        <f>S217</f>
        <v>103</v>
      </c>
      <c r="CL217" s="72">
        <f>W217</f>
        <v>139</v>
      </c>
      <c r="CM217" s="72" t="str">
        <f>AA217</f>
        <v>-</v>
      </c>
      <c r="CN217" s="72">
        <f>AE217</f>
        <v>173</v>
      </c>
      <c r="CO217" s="72">
        <f>AI217</f>
        <v>187</v>
      </c>
      <c r="CP217" s="72">
        <f>AM217</f>
        <v>222</v>
      </c>
      <c r="CQ217" s="72">
        <f>AQ217</f>
        <v>420</v>
      </c>
      <c r="CR217" s="72">
        <f>AU217</f>
        <v>451</v>
      </c>
      <c r="CS217" s="72">
        <f>AY217</f>
        <v>462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si="1007"/>
        <v>ednrb_human__wt</v>
      </c>
      <c r="B218" s="2" t="s">
        <v>196</v>
      </c>
      <c r="C218" s="2" t="s">
        <v>100</v>
      </c>
      <c r="D218" s="3" t="str">
        <f>IFERROR(MID(VLOOKUP($B218,Seqs!$A:$B,2,0),E218,1),"")</f>
        <v>Q</v>
      </c>
      <c r="E218" s="2">
        <v>91</v>
      </c>
      <c r="F218" s="3" t="str">
        <f>IFERROR(MID(VLOOKUP($B218,Seqs!$A:$B,2,0),G218,1),"")</f>
        <v>N</v>
      </c>
      <c r="G218" s="2">
        <v>129</v>
      </c>
      <c r="H218" s="3" t="str">
        <f>IFERROR(MID(VLOOKUP($B218,Seqs!$A:$B,2,0),I218,1),"")</f>
        <v>K</v>
      </c>
      <c r="I218" s="56">
        <v>130</v>
      </c>
      <c r="J218" s="3" t="str">
        <f>IFERROR(MID(VLOOKUP($B218,Seqs!$A:$B,2,0),K218,1),"")</f>
        <v>N</v>
      </c>
      <c r="K218" s="56">
        <v>134</v>
      </c>
      <c r="L218" s="3" t="str">
        <f>IFERROR(MID(VLOOKUP($B218,Seqs!$A:$B,2,0),M218,1),"")</f>
        <v>G</v>
      </c>
      <c r="M218" s="2">
        <v>135</v>
      </c>
      <c r="N218" s="3" t="str">
        <f>IFERROR(MID(VLOOKUP($B218,Seqs!$A:$B,2,0),O218,1),"")</f>
        <v>A</v>
      </c>
      <c r="O218" s="2">
        <v>164</v>
      </c>
      <c r="P218" s="3" t="str">
        <f>IFERROR(MID(VLOOKUP($B218,Seqs!$A:$B,2,0),Q218,1),"")</f>
        <v>D</v>
      </c>
      <c r="Q218" s="2">
        <v>166</v>
      </c>
      <c r="R218" s="3" t="str">
        <f>IFERROR(MID(VLOOKUP($B218,Seqs!$A:$B,2,0),S218,1),"")</f>
        <v>F</v>
      </c>
      <c r="S218" s="2">
        <v>169</v>
      </c>
      <c r="T218" s="3" t="str">
        <f>IFERROR(MID(VLOOKUP($B218,Seqs!$A:$B,2,0),U218,1),"")</f>
        <v>G</v>
      </c>
      <c r="U218" s="4">
        <v>170</v>
      </c>
      <c r="V218" s="3" t="str">
        <f>IFERROR(MID(VLOOKUP($B218,Seqs!$A:$B,2,0),W218,1),"")</f>
        <v>S</v>
      </c>
      <c r="W218" s="2">
        <v>205</v>
      </c>
      <c r="X218" s="3" t="str">
        <f>IFERROR(MID(VLOOKUP($B218,Seqs!$A:$B,2,0),Y218,1),"")</f>
        <v>W</v>
      </c>
      <c r="Y218" s="2">
        <v>206</v>
      </c>
      <c r="Z218" s="3" t="str">
        <f>IFERROR(MID(VLOOKUP($B218,Seqs!$A:$B,2,0),AA218,1),"")</f>
        <v>G</v>
      </c>
      <c r="AA218" s="2">
        <v>213</v>
      </c>
      <c r="AB218" s="3" t="str">
        <f>IFERROR(MID(VLOOKUP($B218,Seqs!$A:$B,2,0),AC218,1),"")</f>
        <v>V</v>
      </c>
      <c r="AC218" s="40">
        <v>214</v>
      </c>
      <c r="AD218" s="3" t="str">
        <f>IFERROR(MID(VLOOKUP($B218,Seqs!$A:$B,2,0),AE218,1),"")</f>
        <v>F</v>
      </c>
      <c r="AE218" s="2">
        <v>240</v>
      </c>
      <c r="AF218" s="3" t="str">
        <f>IFERROR(MID(VLOOKUP($B218,Seqs!$A:$B,2,0),AG218,1),"")</f>
        <v>C</v>
      </c>
      <c r="AG218" s="2">
        <v>255</v>
      </c>
      <c r="AH218" s="3" t="str">
        <f>IFERROR(MID(VLOOKUP($B218,Seqs!$A:$B,2,0),AI218,1),"")</f>
        <v>L</v>
      </c>
      <c r="AI218" s="2">
        <v>257</v>
      </c>
      <c r="AJ218" s="3" t="str">
        <f>IFERROR(MID(VLOOKUP($B218,Seqs!$A:$B,2,0),AK218,1),"")</f>
        <v>T</v>
      </c>
      <c r="AK218" s="2">
        <v>263</v>
      </c>
      <c r="AL218" s="3" t="str">
        <f>IFERROR(MID(VLOOKUP($B218,Seqs!$A:$B,2,0),AM218,1),"")</f>
        <v>M</v>
      </c>
      <c r="AM218" s="2">
        <v>307</v>
      </c>
      <c r="AN218" s="3" t="str">
        <f>IFERROR(MID(VLOOKUP($B218,Seqs!$A:$B,2,0),AO218,1),"")</f>
        <v>N</v>
      </c>
      <c r="AO218" s="2">
        <v>312</v>
      </c>
      <c r="AP218" s="3" t="str">
        <f>IFERROR(MID(VLOOKUP($B218,Seqs!$A:$B,2,0),AQ218,1),"")</f>
        <v>Y</v>
      </c>
      <c r="AQ218" s="2">
        <v>350</v>
      </c>
      <c r="AR218" s="3" t="str">
        <f>IFERROR(MID(VLOOKUP($B218,Seqs!$A:$B,2,0),AS218,1),"")</f>
        <v>R</v>
      </c>
      <c r="AS218" s="2">
        <v>357</v>
      </c>
      <c r="AT218" s="3" t="str">
        <f>IFERROR(MID(VLOOKUP($B218,Seqs!$A:$B,2,0),AU218,1),"")</f>
        <v>V</v>
      </c>
      <c r="AU218" s="2">
        <v>389</v>
      </c>
      <c r="AV218" s="3" t="str">
        <f>IFERROR(MID(VLOOKUP($B218,Seqs!$A:$B,2,0),AW218,1),"")</f>
        <v>S</v>
      </c>
      <c r="AW218" s="2">
        <v>390</v>
      </c>
      <c r="AX218" s="3" t="str">
        <f>IFERROR(MID(VLOOKUP($B218,Seqs!$A:$B,2,0),AY218,1),"")</f>
        <v>C</v>
      </c>
      <c r="AY218" s="2">
        <v>403</v>
      </c>
      <c r="AZ218" s="77" t="str">
        <f>VLOOKUP(B218,Classification!A:D,2,0)</f>
        <v>A</v>
      </c>
      <c r="BA218" s="94" t="str">
        <f>VLOOKUP(B218,Classification!A:D,4,0)</f>
        <v>Endothelin</v>
      </c>
      <c r="BB218" s="27" t="b">
        <f t="shared" si="1008"/>
        <v>1</v>
      </c>
      <c r="BC218" s="2"/>
      <c r="BD218" s="34" t="s">
        <v>23</v>
      </c>
      <c r="BE218" s="3" t="s">
        <v>23</v>
      </c>
      <c r="BF218" s="118" t="s">
        <v>23</v>
      </c>
      <c r="BG218" s="49" t="s">
        <v>1366</v>
      </c>
      <c r="BH218" s="49" t="s">
        <v>1371</v>
      </c>
      <c r="BI218" s="2"/>
      <c r="BJ218" s="70"/>
      <c r="BU218" s="57"/>
      <c r="BV218" s="70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70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2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si="1007"/>
        <v>ednrb_human_5GLH</v>
      </c>
      <c r="B219" s="2" t="s">
        <v>196</v>
      </c>
      <c r="C219" s="2" t="s">
        <v>1322</v>
      </c>
      <c r="D219" s="3" t="str">
        <f>IFERROR(MID(VLOOKUP($B219,Seqs!$A:$B,2,0),E219,1),"")</f>
        <v>K</v>
      </c>
      <c r="E219" s="2">
        <v>97</v>
      </c>
      <c r="F219" s="3" t="str">
        <f>IFERROR(MID(VLOOKUP($B219,Seqs!$A:$B,2,0),G219,1),"")</f>
        <v>N</v>
      </c>
      <c r="G219" s="2">
        <v>129</v>
      </c>
      <c r="H219" s="3" t="str">
        <f>IFERROR(MID(VLOOKUP($B219,Seqs!$A:$B,2,0),I219,1),"")</f>
        <v/>
      </c>
      <c r="I219" s="56" t="s">
        <v>23</v>
      </c>
      <c r="J219" s="3" t="str">
        <f>IFERROR(MID(VLOOKUP($B219,Seqs!$A:$B,2,0),K219,1),"")</f>
        <v/>
      </c>
      <c r="K219" s="56" t="s">
        <v>23</v>
      </c>
      <c r="L219" s="3" t="str">
        <f>IFERROR(MID(VLOOKUP($B219,Seqs!$A:$B,2,0),M219,1),"")</f>
        <v>P</v>
      </c>
      <c r="M219" s="2">
        <v>136</v>
      </c>
      <c r="N219" s="3" t="str">
        <f>IFERROR(MID(VLOOKUP($B219,Seqs!$A:$B,2,0),O219,1),"")</f>
        <v>A</v>
      </c>
      <c r="O219" s="2">
        <v>164</v>
      </c>
      <c r="P219" s="3" t="str">
        <f>IFERROR(MID(VLOOKUP($B219,Seqs!$A:$B,2,0),Q219,1),"")</f>
        <v>D</v>
      </c>
      <c r="Q219" s="2">
        <v>166</v>
      </c>
      <c r="R219" s="3" t="str">
        <f>IFERROR(MID(VLOOKUP($B219,Seqs!$A:$B,2,0),S219,1),"")</f>
        <v>F</v>
      </c>
      <c r="S219" s="2">
        <v>169</v>
      </c>
      <c r="T219" s="3" t="str">
        <f>IFERROR(MID(VLOOKUP($B219,Seqs!$A:$B,2,0),U219,1),"")</f>
        <v>G</v>
      </c>
      <c r="U219" s="4">
        <v>170</v>
      </c>
      <c r="V219" s="3" t="str">
        <f>IFERROR(MID(VLOOKUP($B219,Seqs!$A:$B,2,0),W219,1),"")</f>
        <v>S</v>
      </c>
      <c r="W219" s="2">
        <v>205</v>
      </c>
      <c r="X219" s="3" t="str">
        <f>IFERROR(MID(VLOOKUP($B219,Seqs!$A:$B,2,0),Y219,1),"")</f>
        <v/>
      </c>
      <c r="Y219" s="2" t="s">
        <v>23</v>
      </c>
      <c r="Z219" s="3" t="str">
        <f>IFERROR(MID(VLOOKUP($B219,Seqs!$A:$B,2,0),AA219,1),"")</f>
        <v/>
      </c>
      <c r="AA219" s="2" t="s">
        <v>23</v>
      </c>
      <c r="AB219" s="3" t="str">
        <f>IFERROR(MID(VLOOKUP($B219,Seqs!$A:$B,2,0),AC219,1),"")</f>
        <v>T</v>
      </c>
      <c r="AC219" s="40">
        <v>218</v>
      </c>
      <c r="AD219" s="3" t="str">
        <f>IFERROR(MID(VLOOKUP($B219,Seqs!$A:$B,2,0),AE219,1),"")</f>
        <v>F</v>
      </c>
      <c r="AE219" s="2">
        <v>240</v>
      </c>
      <c r="AF219" s="3" t="str">
        <f>IFERROR(MID(VLOOKUP($B219,Seqs!$A:$B,2,0),AG219,1),"")</f>
        <v>C</v>
      </c>
      <c r="AG219" s="2">
        <v>255</v>
      </c>
      <c r="AH219" s="3" t="str">
        <f>IFERROR(MID(VLOOKUP($B219,Seqs!$A:$B,2,0),AI219,1),"")</f>
        <v>L</v>
      </c>
      <c r="AI219" s="2">
        <v>257</v>
      </c>
      <c r="AJ219" s="3" t="str">
        <f>IFERROR(MID(VLOOKUP($B219,Seqs!$A:$B,2,0),AK219,1),"")</f>
        <v>T</v>
      </c>
      <c r="AK219" s="2">
        <v>263</v>
      </c>
      <c r="AL219" s="3" t="str">
        <f>IFERROR(MID(VLOOKUP($B219,Seqs!$A:$B,2,0),AM219,1),"")</f>
        <v>K</v>
      </c>
      <c r="AM219" s="2">
        <v>303</v>
      </c>
      <c r="AN219" s="3" t="str">
        <f>IFERROR(MID(VLOOKUP($B219,Seqs!$A:$B,2,0),AO219,1),"")</f>
        <v>N</v>
      </c>
      <c r="AO219" s="2">
        <v>312</v>
      </c>
      <c r="AP219" s="3" t="str">
        <f>IFERROR(MID(VLOOKUP($B219,Seqs!$A:$B,2,0),AQ219,1),"")</f>
        <v>Y</v>
      </c>
      <c r="AQ219" s="2">
        <v>350</v>
      </c>
      <c r="AR219" s="3" t="str">
        <f>IFERROR(MID(VLOOKUP($B219,Seqs!$A:$B,2,0),AS219,1),"")</f>
        <v>R</v>
      </c>
      <c r="AS219" s="2">
        <v>357</v>
      </c>
      <c r="AT219" s="3" t="str">
        <f>IFERROR(MID(VLOOKUP($B219,Seqs!$A:$B,2,0),AU219,1),"")</f>
        <v>V</v>
      </c>
      <c r="AU219" s="2">
        <v>389</v>
      </c>
      <c r="AV219" s="3" t="str">
        <f>IFERROR(MID(VLOOKUP($B219,Seqs!$A:$B,2,0),AW219,1),"")</f>
        <v>S</v>
      </c>
      <c r="AW219" s="2">
        <v>390</v>
      </c>
      <c r="AX219" s="3" t="str">
        <f>IFERROR(MID(VLOOKUP($B219,Seqs!$A:$B,2,0),AY219,1),"")</f>
        <v>L</v>
      </c>
      <c r="AY219" s="2">
        <v>401</v>
      </c>
      <c r="AZ219" s="77" t="str">
        <f>VLOOKUP(B219,Classification!A:D,2,0)</f>
        <v>A</v>
      </c>
      <c r="BA219" s="94" t="str">
        <f>VLOOKUP(B219,Classification!A:D,4,0)</f>
        <v>Endothelin</v>
      </c>
      <c r="BB219" s="27" t="b">
        <f t="shared" si="1008"/>
        <v>1</v>
      </c>
      <c r="BC219" s="23">
        <f t="shared" ref="BC219:BC298" si="1705">_xlfn.AGGREGATE(9,6,CH219:CS219)-_xlfn.AGGREGATE(9,6,BV219:CG219)+12</f>
        <v>255</v>
      </c>
      <c r="BD219" s="2" t="s">
        <v>23</v>
      </c>
      <c r="BE219" s="3" t="s">
        <v>1368</v>
      </c>
      <c r="BF219" s="118">
        <v>2.8</v>
      </c>
      <c r="BG219" s="49" t="s">
        <v>1371</v>
      </c>
      <c r="BH219" s="49" t="s">
        <v>1371</v>
      </c>
      <c r="BI219" s="2"/>
      <c r="BJ219" s="70" t="s">
        <v>1281</v>
      </c>
      <c r="BK219" s="57" t="s">
        <v>1281</v>
      </c>
      <c r="BL219" s="57" t="s">
        <v>1281</v>
      </c>
      <c r="BM219" s="57" t="s">
        <v>1281</v>
      </c>
      <c r="BN219" s="57" t="s">
        <v>1281</v>
      </c>
      <c r="BO219" s="57" t="s">
        <v>1281</v>
      </c>
      <c r="BP219" s="57" t="s">
        <v>1281</v>
      </c>
      <c r="BQ219" s="57" t="s">
        <v>1281</v>
      </c>
      <c r="BR219" s="57" t="s">
        <v>1281</v>
      </c>
      <c r="BS219" s="57" t="s">
        <v>1281</v>
      </c>
      <c r="BT219" s="57" t="s">
        <v>1281</v>
      </c>
      <c r="BU219" s="57" t="s">
        <v>1281</v>
      </c>
      <c r="BV219" s="70">
        <f t="shared" ref="BV219:BV298" si="1706">E219</f>
        <v>97</v>
      </c>
      <c r="BW219" s="71" t="str">
        <f t="shared" ref="BW219:BW298" si="1707">I219</f>
        <v>-</v>
      </c>
      <c r="BX219" s="72">
        <f t="shared" ref="BX219:BX298" si="1708">M219</f>
        <v>136</v>
      </c>
      <c r="BY219" s="71">
        <f t="shared" ref="BY219:BY298" si="1709">Q219</f>
        <v>166</v>
      </c>
      <c r="BZ219" s="72">
        <f t="shared" ref="BZ219:BZ298" si="1710">U219</f>
        <v>170</v>
      </c>
      <c r="CA219" s="71" t="str">
        <f t="shared" ref="CA219:CA298" si="1711">Y219</f>
        <v>-</v>
      </c>
      <c r="CB219" s="72">
        <f t="shared" ref="CB219:CB298" si="1712">AC219</f>
        <v>218</v>
      </c>
      <c r="CC219" s="71">
        <f t="shared" ref="CC219:CC298" si="1713">AG219</f>
        <v>255</v>
      </c>
      <c r="CD219" s="72">
        <f t="shared" ref="CD219:CD298" si="1714">AK219</f>
        <v>263</v>
      </c>
      <c r="CE219" s="71">
        <f t="shared" ref="CE219:CE298" si="1715">AO219</f>
        <v>312</v>
      </c>
      <c r="CF219" s="72">
        <f t="shared" ref="CF219:CF298" si="1716">AS219</f>
        <v>357</v>
      </c>
      <c r="CG219" s="71">
        <f t="shared" ref="CG219:CG298" si="1717">AW219</f>
        <v>390</v>
      </c>
      <c r="CH219" s="70">
        <f t="shared" ref="CH219:CH298" si="1718">G219</f>
        <v>129</v>
      </c>
      <c r="CI219" s="71" t="str">
        <f t="shared" ref="CI219:CI298" si="1719">K219</f>
        <v>-</v>
      </c>
      <c r="CJ219" s="72">
        <f t="shared" ref="CJ219:CJ298" si="1720">O219</f>
        <v>164</v>
      </c>
      <c r="CK219" s="72">
        <f t="shared" ref="CK219:CK298" si="1721">S219</f>
        <v>169</v>
      </c>
      <c r="CL219" s="72">
        <f t="shared" ref="CL219:CL298" si="1722">W219</f>
        <v>205</v>
      </c>
      <c r="CM219" s="72" t="str">
        <f t="shared" ref="CM219:CM298" si="1723">AA219</f>
        <v>-</v>
      </c>
      <c r="CN219" s="72">
        <f t="shared" ref="CN219:CN298" si="1724">AE219</f>
        <v>240</v>
      </c>
      <c r="CO219" s="72">
        <f t="shared" ref="CO219:CO298" si="1725">AI219</f>
        <v>257</v>
      </c>
      <c r="CP219" s="72">
        <f t="shared" ref="CP219:CP298" si="1726">AM219</f>
        <v>303</v>
      </c>
      <c r="CQ219" s="72">
        <f t="shared" ref="CQ219:CQ298" si="1727">AQ219</f>
        <v>350</v>
      </c>
      <c r="CR219" s="72">
        <f t="shared" ref="CR219:CR298" si="1728">AU219</f>
        <v>389</v>
      </c>
      <c r="CS219" s="72">
        <f t="shared" ref="CS219:CS298" si="1729">AY219</f>
        <v>401</v>
      </c>
      <c r="CT219" s="23" t="e">
        <f t="shared" ref="CT219:CT298" si="1730"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007"/>
        <v>ednrb_human_5GLI</v>
      </c>
      <c r="B220" s="2" t="s">
        <v>196</v>
      </c>
      <c r="C220" s="2" t="s">
        <v>1321</v>
      </c>
      <c r="D220" s="3" t="str">
        <f>IFERROR(MID(VLOOKUP($B220,Seqs!$A:$B,2,0),E220,1),"")</f>
        <v>Q</v>
      </c>
      <c r="E220" s="2">
        <v>91</v>
      </c>
      <c r="F220" s="3" t="str">
        <f>IFERROR(MID(VLOOKUP($B220,Seqs!$A:$B,2,0),G220,1),"")</f>
        <v>N</v>
      </c>
      <c r="G220" s="2">
        <v>129</v>
      </c>
      <c r="H220" s="3" t="str">
        <f>IFERROR(MID(VLOOKUP($B220,Seqs!$A:$B,2,0),I220,1),"")</f>
        <v>K</v>
      </c>
      <c r="I220" s="56">
        <v>130</v>
      </c>
      <c r="J220" s="3" t="str">
        <f>IFERROR(MID(VLOOKUP($B220,Seqs!$A:$B,2,0),K220,1),"")</f>
        <v>N</v>
      </c>
      <c r="K220" s="56">
        <v>134</v>
      </c>
      <c r="L220" s="3" t="str">
        <f>IFERROR(MID(VLOOKUP($B220,Seqs!$A:$B,2,0),M220,1),"")</f>
        <v>G</v>
      </c>
      <c r="M220" s="2">
        <v>135</v>
      </c>
      <c r="N220" s="3" t="str">
        <f>IFERROR(MID(VLOOKUP($B220,Seqs!$A:$B,2,0),O220,1),"")</f>
        <v>A</v>
      </c>
      <c r="O220" s="2">
        <v>164</v>
      </c>
      <c r="P220" s="3" t="str">
        <f>IFERROR(MID(VLOOKUP($B220,Seqs!$A:$B,2,0),Q220,1),"")</f>
        <v>D</v>
      </c>
      <c r="Q220" s="2">
        <v>166</v>
      </c>
      <c r="R220" s="3" t="str">
        <f>IFERROR(MID(VLOOKUP($B220,Seqs!$A:$B,2,0),S220,1),"")</f>
        <v>F</v>
      </c>
      <c r="S220" s="2">
        <v>169</v>
      </c>
      <c r="T220" s="3" t="str">
        <f>IFERROR(MID(VLOOKUP($B220,Seqs!$A:$B,2,0),U220,1),"")</f>
        <v>G</v>
      </c>
      <c r="U220" s="4">
        <v>170</v>
      </c>
      <c r="V220" s="3" t="str">
        <f>IFERROR(MID(VLOOKUP($B220,Seqs!$A:$B,2,0),W220,1),"")</f>
        <v>S</v>
      </c>
      <c r="W220" s="2">
        <v>205</v>
      </c>
      <c r="X220" s="3" t="str">
        <f>IFERROR(MID(VLOOKUP($B220,Seqs!$A:$B,2,0),Y220,1),"")</f>
        <v/>
      </c>
      <c r="Y220" s="2" t="s">
        <v>23</v>
      </c>
      <c r="Z220" s="3" t="str">
        <f>IFERROR(MID(VLOOKUP($B220,Seqs!$A:$B,2,0),AA220,1),"")</f>
        <v/>
      </c>
      <c r="AA220" s="2" t="s">
        <v>23</v>
      </c>
      <c r="AB220" s="3" t="str">
        <f>IFERROR(MID(VLOOKUP($B220,Seqs!$A:$B,2,0),AC220,1),"")</f>
        <v>K</v>
      </c>
      <c r="AC220" s="40">
        <v>216</v>
      </c>
      <c r="AD220" s="3" t="str">
        <f>IFERROR(MID(VLOOKUP($B220,Seqs!$A:$B,2,0),AE220,1),"")</f>
        <v>F</v>
      </c>
      <c r="AE220" s="2">
        <v>240</v>
      </c>
      <c r="AF220" s="3" t="str">
        <f>IFERROR(MID(VLOOKUP($B220,Seqs!$A:$B,2,0),AG220,1),"")</f>
        <v>C</v>
      </c>
      <c r="AG220" s="2">
        <v>255</v>
      </c>
      <c r="AH220" s="3" t="str">
        <f>IFERROR(MID(VLOOKUP($B220,Seqs!$A:$B,2,0),AI220,1),"")</f>
        <v>L</v>
      </c>
      <c r="AI220" s="2">
        <v>257</v>
      </c>
      <c r="AJ220" s="3" t="str">
        <f>IFERROR(MID(VLOOKUP($B220,Seqs!$A:$B,2,0),AK220,1),"")</f>
        <v>T</v>
      </c>
      <c r="AK220" s="2">
        <v>263</v>
      </c>
      <c r="AL220" s="3" t="str">
        <f>IFERROR(MID(VLOOKUP($B220,Seqs!$A:$B,2,0),AM220,1),"")</f>
        <v>K</v>
      </c>
      <c r="AM220" s="2">
        <v>303</v>
      </c>
      <c r="AN220" s="3" t="str">
        <f>IFERROR(MID(VLOOKUP($B220,Seqs!$A:$B,2,0),AO220,1),"")</f>
        <v>N</v>
      </c>
      <c r="AO220" s="2">
        <v>312</v>
      </c>
      <c r="AP220" s="3" t="str">
        <f>IFERROR(MID(VLOOKUP($B220,Seqs!$A:$B,2,0),AQ220,1),"")</f>
        <v>Y</v>
      </c>
      <c r="AQ220" s="2">
        <v>350</v>
      </c>
      <c r="AR220" s="3" t="str">
        <f>IFERROR(MID(VLOOKUP($B220,Seqs!$A:$B,2,0),AS220,1),"")</f>
        <v>R</v>
      </c>
      <c r="AS220" s="2">
        <v>357</v>
      </c>
      <c r="AT220" s="3" t="str">
        <f>IFERROR(MID(VLOOKUP($B220,Seqs!$A:$B,2,0),AU220,1),"")</f>
        <v>V</v>
      </c>
      <c r="AU220" s="2">
        <v>389</v>
      </c>
      <c r="AV220" s="3" t="str">
        <f>IFERROR(MID(VLOOKUP($B220,Seqs!$A:$B,2,0),AW220,1),"")</f>
        <v>S</v>
      </c>
      <c r="AW220" s="2">
        <v>390</v>
      </c>
      <c r="AX220" s="3" t="str">
        <f>IFERROR(MID(VLOOKUP($B220,Seqs!$A:$B,2,0),AY220,1),"")</f>
        <v>C</v>
      </c>
      <c r="AY220" s="2">
        <v>403</v>
      </c>
      <c r="AZ220" s="77" t="str">
        <f>VLOOKUP(B220,Classification!A:D,2,0)</f>
        <v>A</v>
      </c>
      <c r="BA220" s="94" t="str">
        <f>VLOOKUP(B220,Classification!A:D,4,0)</f>
        <v>Endothelin</v>
      </c>
      <c r="BB220" s="27" t="b">
        <f t="shared" si="1008"/>
        <v>1</v>
      </c>
      <c r="BC220" s="23">
        <f t="shared" si="1705"/>
        <v>270</v>
      </c>
      <c r="BD220" s="2" t="s">
        <v>23</v>
      </c>
      <c r="BE220" s="3" t="s">
        <v>1368</v>
      </c>
      <c r="BF220" s="118">
        <v>2.5</v>
      </c>
      <c r="BG220" s="49" t="s">
        <v>1371</v>
      </c>
      <c r="BH220" s="49" t="s">
        <v>1371</v>
      </c>
      <c r="BI220" s="2"/>
      <c r="BJ220" s="70" t="s">
        <v>1281</v>
      </c>
      <c r="BK220" s="57" t="s">
        <v>1281</v>
      </c>
      <c r="BL220" s="57" t="s">
        <v>1281</v>
      </c>
      <c r="BM220" s="57" t="s">
        <v>1281</v>
      </c>
      <c r="BN220" s="57" t="s">
        <v>1281</v>
      </c>
      <c r="BO220" s="57" t="s">
        <v>1281</v>
      </c>
      <c r="BP220" s="57" t="s">
        <v>1281</v>
      </c>
      <c r="BQ220" s="57" t="s">
        <v>1281</v>
      </c>
      <c r="BR220" s="57" t="s">
        <v>1281</v>
      </c>
      <c r="BS220" s="57" t="s">
        <v>1281</v>
      </c>
      <c r="BT220" s="57" t="s">
        <v>1281</v>
      </c>
      <c r="BU220" s="57" t="s">
        <v>1281</v>
      </c>
      <c r="BV220" s="70">
        <f t="shared" si="1706"/>
        <v>91</v>
      </c>
      <c r="BW220" s="71">
        <f t="shared" si="1707"/>
        <v>130</v>
      </c>
      <c r="BX220" s="72">
        <f t="shared" si="1708"/>
        <v>135</v>
      </c>
      <c r="BY220" s="71">
        <f t="shared" si="1709"/>
        <v>166</v>
      </c>
      <c r="BZ220" s="72">
        <f t="shared" si="1710"/>
        <v>170</v>
      </c>
      <c r="CA220" s="71" t="str">
        <f t="shared" si="1711"/>
        <v>-</v>
      </c>
      <c r="CB220" s="72">
        <f t="shared" si="1712"/>
        <v>216</v>
      </c>
      <c r="CC220" s="71">
        <f t="shared" si="1713"/>
        <v>255</v>
      </c>
      <c r="CD220" s="72">
        <f t="shared" si="1714"/>
        <v>263</v>
      </c>
      <c r="CE220" s="71">
        <f t="shared" si="1715"/>
        <v>312</v>
      </c>
      <c r="CF220" s="72">
        <f t="shared" si="1716"/>
        <v>357</v>
      </c>
      <c r="CG220" s="71">
        <f t="shared" si="1717"/>
        <v>390</v>
      </c>
      <c r="CH220" s="70">
        <f t="shared" si="1718"/>
        <v>129</v>
      </c>
      <c r="CI220" s="71">
        <f t="shared" si="1719"/>
        <v>134</v>
      </c>
      <c r="CJ220" s="72">
        <f t="shared" si="1720"/>
        <v>164</v>
      </c>
      <c r="CK220" s="72">
        <f t="shared" si="1721"/>
        <v>169</v>
      </c>
      <c r="CL220" s="72">
        <f t="shared" si="1722"/>
        <v>205</v>
      </c>
      <c r="CM220" s="72" t="str">
        <f t="shared" si="1723"/>
        <v>-</v>
      </c>
      <c r="CN220" s="72">
        <f t="shared" si="1724"/>
        <v>240</v>
      </c>
      <c r="CO220" s="72">
        <f t="shared" si="1725"/>
        <v>257</v>
      </c>
      <c r="CP220" s="72">
        <f t="shared" si="1726"/>
        <v>303</v>
      </c>
      <c r="CQ220" s="72">
        <f t="shared" si="1727"/>
        <v>350</v>
      </c>
      <c r="CR220" s="72">
        <f t="shared" si="1728"/>
        <v>389</v>
      </c>
      <c r="CS220" s="72">
        <f t="shared" si="1729"/>
        <v>403</v>
      </c>
      <c r="CT220" s="23">
        <f t="shared" si="1730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ref="A221:A226" si="1731">CONCATENATE(B221,"_",C221)</f>
        <v>ednrb_human_5X93</v>
      </c>
      <c r="B221" s="2" t="s">
        <v>196</v>
      </c>
      <c r="C221" s="2" t="s">
        <v>1432</v>
      </c>
      <c r="D221" s="3" t="str">
        <f>IFERROR(MID(VLOOKUP($B221,Seqs!$A:$B,2,0),E221,1),"")</f>
        <v>Q</v>
      </c>
      <c r="E221" s="2">
        <v>91</v>
      </c>
      <c r="F221" s="3" t="str">
        <f>IFERROR(MID(VLOOKUP($B221,Seqs!$A:$B,2,0),G221,1),"")</f>
        <v>N</v>
      </c>
      <c r="G221" s="2">
        <v>129</v>
      </c>
      <c r="H221" s="3" t="str">
        <f>IFERROR(MID(VLOOKUP($B221,Seqs!$A:$B,2,0),I221,1),"")</f>
        <v>K</v>
      </c>
      <c r="I221" s="56">
        <v>130</v>
      </c>
      <c r="J221" s="3" t="str">
        <f>IFERROR(MID(VLOOKUP($B221,Seqs!$A:$B,2,0),K221,1),"")</f>
        <v>N</v>
      </c>
      <c r="K221" s="56">
        <v>134</v>
      </c>
      <c r="L221" s="3" t="str">
        <f>IFERROR(MID(VLOOKUP($B221,Seqs!$A:$B,2,0),M221,1),"")</f>
        <v>G</v>
      </c>
      <c r="M221" s="2">
        <v>135</v>
      </c>
      <c r="N221" s="3" t="str">
        <f>IFERROR(MID(VLOOKUP($B221,Seqs!$A:$B,2,0),O221,1),"")</f>
        <v>A</v>
      </c>
      <c r="O221" s="2">
        <v>164</v>
      </c>
      <c r="P221" s="3" t="str">
        <f>IFERROR(MID(VLOOKUP($B221,Seqs!$A:$B,2,0),Q221,1),"")</f>
        <v>D</v>
      </c>
      <c r="Q221" s="2">
        <v>166</v>
      </c>
      <c r="R221" s="3" t="str">
        <f>IFERROR(MID(VLOOKUP($B221,Seqs!$A:$B,2,0),S221,1),"")</f>
        <v>F</v>
      </c>
      <c r="S221" s="2">
        <v>169</v>
      </c>
      <c r="T221" s="3" t="str">
        <f>IFERROR(MID(VLOOKUP($B221,Seqs!$A:$B,2,0),U221,1),"")</f>
        <v>G</v>
      </c>
      <c r="U221" s="4">
        <v>170</v>
      </c>
      <c r="V221" s="3" t="str">
        <f>IFERROR(MID(VLOOKUP($B221,Seqs!$A:$B,2,0),W221,1),"")</f>
        <v>S</v>
      </c>
      <c r="W221" s="2">
        <v>205</v>
      </c>
      <c r="X221" s="3" t="str">
        <f>IFERROR(MID(VLOOKUP($B221,Seqs!$A:$B,2,0),Y221,1),"")</f>
        <v/>
      </c>
      <c r="Y221" s="2" t="s">
        <v>23</v>
      </c>
      <c r="Z221" s="3" t="str">
        <f>IFERROR(MID(VLOOKUP($B221,Seqs!$A:$B,2,0),AA221,1),"")</f>
        <v/>
      </c>
      <c r="AA221" s="2" t="s">
        <v>23</v>
      </c>
      <c r="AB221" s="3" t="str">
        <f>IFERROR(MID(VLOOKUP($B221,Seqs!$A:$B,2,0),AC221,1),"")</f>
        <v>K</v>
      </c>
      <c r="AC221" s="2">
        <v>216</v>
      </c>
      <c r="AD221" s="3" t="str">
        <f>IFERROR(MID(VLOOKUP($B221,Seqs!$A:$B,2,0),AE221,1),"")</f>
        <v>F</v>
      </c>
      <c r="AE221" s="2">
        <v>240</v>
      </c>
      <c r="AF221" s="3" t="str">
        <f>IFERROR(MID(VLOOKUP($B221,Seqs!$A:$B,2,0),AG221,1),"")</f>
        <v>C</v>
      </c>
      <c r="AG221" s="2">
        <v>255</v>
      </c>
      <c r="AH221" s="3" t="str">
        <f>IFERROR(MID(VLOOKUP($B221,Seqs!$A:$B,2,0),AI221,1),"")</f>
        <v>L</v>
      </c>
      <c r="AI221" s="2">
        <v>257</v>
      </c>
      <c r="AJ221" s="3" t="str">
        <f>IFERROR(MID(VLOOKUP($B221,Seqs!$A:$B,2,0),AK221,1),"")</f>
        <v>T</v>
      </c>
      <c r="AK221" s="2">
        <v>263</v>
      </c>
      <c r="AL221" s="3" t="str">
        <f>IFERROR(MID(VLOOKUP($B221,Seqs!$A:$B,2,0),AM221,1),"")</f>
        <v>K</v>
      </c>
      <c r="AM221" s="2">
        <v>303</v>
      </c>
      <c r="AN221" s="3" t="str">
        <f>IFERROR(MID(VLOOKUP($B221,Seqs!$A:$B,2,0),AO221,1),"")</f>
        <v>N</v>
      </c>
      <c r="AO221" s="2">
        <v>312</v>
      </c>
      <c r="AP221" s="3" t="str">
        <f>IFERROR(MID(VLOOKUP($B221,Seqs!$A:$B,2,0),AQ221,1),"")</f>
        <v>Y</v>
      </c>
      <c r="AQ221" s="2">
        <v>350</v>
      </c>
      <c r="AR221" s="3" t="str">
        <f>IFERROR(MID(VLOOKUP($B221,Seqs!$A:$B,2,0),AS221,1),"")</f>
        <v>R</v>
      </c>
      <c r="AS221" s="2">
        <v>357</v>
      </c>
      <c r="AT221" s="3" t="str">
        <f>IFERROR(MID(VLOOKUP($B221,Seqs!$A:$B,2,0),AU221,1),"")</f>
        <v>V</v>
      </c>
      <c r="AU221" s="2">
        <v>389</v>
      </c>
      <c r="AV221" s="3" t="str">
        <f>IFERROR(MID(VLOOKUP($B221,Seqs!$A:$B,2,0),AW221,1),"")</f>
        <v>S</v>
      </c>
      <c r="AW221" s="2">
        <v>390</v>
      </c>
      <c r="AX221" s="3" t="str">
        <f>IFERROR(MID(VLOOKUP($B221,Seqs!$A:$B,2,0),AY221,1),"")</f>
        <v>C</v>
      </c>
      <c r="AY221" s="2">
        <v>403</v>
      </c>
      <c r="AZ221" s="77" t="str">
        <f>VLOOKUP(B221,Classification!A:D,2,0)</f>
        <v>A</v>
      </c>
      <c r="BA221" s="94" t="str">
        <f>VLOOKUP(B221,Classification!A:D,4,0)</f>
        <v>Endothelin</v>
      </c>
      <c r="BB221" s="27" t="b">
        <f t="shared" ref="BB221:BB226" si="1732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:BC226" si="1733">_xlfn.AGGREGATE(9,6,CH221:CS221)-_xlfn.AGGREGATE(9,6,BV221:CG221)+12</f>
        <v>270</v>
      </c>
      <c r="BD221" s="2" t="s">
        <v>1370</v>
      </c>
      <c r="BE221" s="3" t="s">
        <v>1368</v>
      </c>
      <c r="BF221" s="118">
        <v>2.2000000000000002</v>
      </c>
      <c r="BG221" s="49" t="s">
        <v>1</v>
      </c>
      <c r="BH221" s="49" t="s">
        <v>1</v>
      </c>
      <c r="BI221" s="2"/>
      <c r="BJ221" s="70" t="s">
        <v>1281</v>
      </c>
      <c r="BK221" s="57" t="s">
        <v>1281</v>
      </c>
      <c r="BL221" s="57" t="s">
        <v>1281</v>
      </c>
      <c r="BM221" s="57" t="s">
        <v>1281</v>
      </c>
      <c r="BN221" s="57" t="s">
        <v>1281</v>
      </c>
      <c r="BO221" s="57" t="s">
        <v>1281</v>
      </c>
      <c r="BP221" s="57" t="s">
        <v>1281</v>
      </c>
      <c r="BQ221" s="57" t="s">
        <v>1281</v>
      </c>
      <c r="BR221" s="57" t="s">
        <v>1281</v>
      </c>
      <c r="BS221" s="57" t="s">
        <v>1281</v>
      </c>
      <c r="BT221" s="57" t="s">
        <v>1281</v>
      </c>
      <c r="BU221" s="57" t="s">
        <v>1281</v>
      </c>
      <c r="BV221" s="70">
        <f t="shared" ref="BV221:BV226" si="1734">E221</f>
        <v>91</v>
      </c>
      <c r="BW221" s="71">
        <f t="shared" ref="BW221:BW226" si="1735">I221</f>
        <v>130</v>
      </c>
      <c r="BX221" s="72">
        <f t="shared" ref="BX221:BX226" si="1736">M221</f>
        <v>135</v>
      </c>
      <c r="BY221" s="71">
        <f t="shared" ref="BY221:BY226" si="1737">Q221</f>
        <v>166</v>
      </c>
      <c r="BZ221" s="72">
        <f t="shared" ref="BZ221:BZ226" si="1738">U221</f>
        <v>170</v>
      </c>
      <c r="CA221" s="71" t="str">
        <f t="shared" ref="CA221:CA226" si="1739">Y221</f>
        <v>-</v>
      </c>
      <c r="CB221" s="72">
        <f t="shared" ref="CB221:CB226" si="1740">AC221</f>
        <v>216</v>
      </c>
      <c r="CC221" s="71">
        <f t="shared" ref="CC221:CC226" si="1741">AG221</f>
        <v>255</v>
      </c>
      <c r="CD221" s="72">
        <f t="shared" ref="CD221:CD226" si="1742">AK221</f>
        <v>263</v>
      </c>
      <c r="CE221" s="71">
        <f t="shared" ref="CE221:CE226" si="1743">AO221</f>
        <v>312</v>
      </c>
      <c r="CF221" s="72">
        <f t="shared" ref="CF221:CF226" si="1744">AS221</f>
        <v>357</v>
      </c>
      <c r="CG221" s="71">
        <f t="shared" ref="CG221:CG226" si="1745">AW221</f>
        <v>390</v>
      </c>
      <c r="CH221" s="70">
        <f t="shared" ref="CH221:CH226" si="1746">G221</f>
        <v>129</v>
      </c>
      <c r="CI221" s="71">
        <f t="shared" ref="CI221:CI226" si="1747">K221</f>
        <v>134</v>
      </c>
      <c r="CJ221" s="72">
        <f t="shared" ref="CJ221:CJ226" si="1748">O221</f>
        <v>164</v>
      </c>
      <c r="CK221" s="72">
        <f t="shared" ref="CK221:CK226" si="1749">S221</f>
        <v>169</v>
      </c>
      <c r="CL221" s="72">
        <f t="shared" ref="CL221:CL226" si="1750">W221</f>
        <v>205</v>
      </c>
      <c r="CM221" s="72" t="str">
        <f t="shared" ref="CM221:CM226" si="1751">AA221</f>
        <v>-</v>
      </c>
      <c r="CN221" s="72">
        <f t="shared" ref="CN221:CN226" si="1752">AE221</f>
        <v>240</v>
      </c>
      <c r="CO221" s="72">
        <f t="shared" ref="CO221:CO226" si="1753">AI221</f>
        <v>257</v>
      </c>
      <c r="CP221" s="72">
        <f t="shared" ref="CP221:CP226" si="1754">AM221</f>
        <v>303</v>
      </c>
      <c r="CQ221" s="72">
        <f t="shared" ref="CQ221:CQ226" si="1755">AQ221</f>
        <v>350</v>
      </c>
      <c r="CR221" s="72">
        <f t="shared" ref="CR221:CR226" si="1756">AU221</f>
        <v>389</v>
      </c>
      <c r="CS221" s="72">
        <f t="shared" ref="CS221:CS226" si="1757">AY221</f>
        <v>403</v>
      </c>
      <c r="CT221" s="23">
        <f t="shared" ref="CT221:CT226" si="1758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731"/>
        <v>ednrb_human_5XPR</v>
      </c>
      <c r="B222" s="2" t="s">
        <v>196</v>
      </c>
      <c r="C222" s="2" t="s">
        <v>1433</v>
      </c>
      <c r="D222" s="3" t="str">
        <f>IFERROR(MID(VLOOKUP($B222,Seqs!$A:$B,2,0),E222,1),"")</f>
        <v>G</v>
      </c>
      <c r="E222" s="2">
        <v>92</v>
      </c>
      <c r="F222" s="3" t="str">
        <f>IFERROR(MID(VLOOKUP($B222,Seqs!$A:$B,2,0),G222,1),"")</f>
        <v>N</v>
      </c>
      <c r="G222" s="2">
        <v>129</v>
      </c>
      <c r="H222" s="3" t="str">
        <f>IFERROR(MID(VLOOKUP($B222,Seqs!$A:$B,2,0),I222,1),"")</f>
        <v>K</v>
      </c>
      <c r="I222" s="56">
        <v>130</v>
      </c>
      <c r="J222" s="3" t="str">
        <f>IFERROR(MID(VLOOKUP($B222,Seqs!$A:$B,2,0),K222,1),"")</f>
        <v>N</v>
      </c>
      <c r="K222" s="56">
        <v>134</v>
      </c>
      <c r="L222" s="3" t="str">
        <f>IFERROR(MID(VLOOKUP($B222,Seqs!$A:$B,2,0),M222,1),"")</f>
        <v>G</v>
      </c>
      <c r="M222" s="2">
        <v>135</v>
      </c>
      <c r="N222" s="3" t="str">
        <f>IFERROR(MID(VLOOKUP($B222,Seqs!$A:$B,2,0),O222,1),"")</f>
        <v>A</v>
      </c>
      <c r="O222" s="2">
        <v>164</v>
      </c>
      <c r="P222" s="3" t="str">
        <f>IFERROR(MID(VLOOKUP($B222,Seqs!$A:$B,2,0),Q222,1),"")</f>
        <v>D</v>
      </c>
      <c r="Q222" s="2">
        <v>166</v>
      </c>
      <c r="R222" s="3" t="str">
        <f>IFERROR(MID(VLOOKUP($B222,Seqs!$A:$B,2,0),S222,1),"")</f>
        <v>F</v>
      </c>
      <c r="S222" s="2">
        <v>169</v>
      </c>
      <c r="T222" s="3" t="str">
        <f>IFERROR(MID(VLOOKUP($B222,Seqs!$A:$B,2,0),U222,1),"")</f>
        <v>A</v>
      </c>
      <c r="U222" s="4">
        <v>171</v>
      </c>
      <c r="V222" s="3" t="str">
        <f>IFERROR(MID(VLOOKUP($B222,Seqs!$A:$B,2,0),W222,1),"")</f>
        <v>A</v>
      </c>
      <c r="W222" s="2">
        <v>202</v>
      </c>
      <c r="X222" s="3" t="str">
        <f>IFERROR(MID(VLOOKUP($B222,Seqs!$A:$B,2,0),Y222,1),"")</f>
        <v/>
      </c>
      <c r="Y222" s="2" t="s">
        <v>23</v>
      </c>
      <c r="Z222" s="3" t="str">
        <f>IFERROR(MID(VLOOKUP($B222,Seqs!$A:$B,2,0),AA222,1),"")</f>
        <v/>
      </c>
      <c r="AA222" s="2" t="s">
        <v>23</v>
      </c>
      <c r="AB222" s="3" t="str">
        <f>IFERROR(MID(VLOOKUP($B222,Seqs!$A:$B,2,0),AC222,1),"")</f>
        <v>K</v>
      </c>
      <c r="AC222" s="2">
        <v>216</v>
      </c>
      <c r="AD222" s="3" t="str">
        <f>IFERROR(MID(VLOOKUP($B222,Seqs!$A:$B,2,0),AE222,1),"")</f>
        <v>F</v>
      </c>
      <c r="AE222" s="2">
        <v>240</v>
      </c>
      <c r="AF222" s="3" t="str">
        <f>IFERROR(MID(VLOOKUP($B222,Seqs!$A:$B,2,0),AG222,1),"")</f>
        <v>C</v>
      </c>
      <c r="AG222" s="2">
        <v>255</v>
      </c>
      <c r="AH222" s="3" t="str">
        <f>IFERROR(MID(VLOOKUP($B222,Seqs!$A:$B,2,0),AI222,1),"")</f>
        <v>L</v>
      </c>
      <c r="AI222" s="2">
        <v>257</v>
      </c>
      <c r="AJ222" s="3" t="str">
        <f>IFERROR(MID(VLOOKUP($B222,Seqs!$A:$B,2,0),AK222,1),"")</f>
        <v>T</v>
      </c>
      <c r="AK222" s="2">
        <v>263</v>
      </c>
      <c r="AL222" s="3" t="str">
        <f>IFERROR(MID(VLOOKUP($B222,Seqs!$A:$B,2,0),AM222,1),"")</f>
        <v>K</v>
      </c>
      <c r="AM222" s="2">
        <v>303</v>
      </c>
      <c r="AN222" s="3" t="str">
        <f>IFERROR(MID(VLOOKUP($B222,Seqs!$A:$B,2,0),AO222,1),"")</f>
        <v>N</v>
      </c>
      <c r="AO222" s="2">
        <v>312</v>
      </c>
      <c r="AP222" s="3" t="str">
        <f>IFERROR(MID(VLOOKUP($B222,Seqs!$A:$B,2,0),AQ222,1),"")</f>
        <v>L</v>
      </c>
      <c r="AQ222" s="2">
        <v>349</v>
      </c>
      <c r="AR222" s="3" t="str">
        <f>IFERROR(MID(VLOOKUP($B222,Seqs!$A:$B,2,0),AS222,1),"")</f>
        <v>N</v>
      </c>
      <c r="AS222" s="2">
        <v>356</v>
      </c>
      <c r="AT222" s="3" t="str">
        <f>IFERROR(MID(VLOOKUP($B222,Seqs!$A:$B,2,0),AU222,1),"")</f>
        <v>V</v>
      </c>
      <c r="AU222" s="2">
        <v>389</v>
      </c>
      <c r="AV222" s="3" t="str">
        <f>IFERROR(MID(VLOOKUP($B222,Seqs!$A:$B,2,0),AW222,1),"")</f>
        <v>S</v>
      </c>
      <c r="AW222" s="2">
        <v>390</v>
      </c>
      <c r="AX222" s="3" t="str">
        <f>IFERROR(MID(VLOOKUP($B222,Seqs!$A:$B,2,0),AY222,1),"")</f>
        <v>C</v>
      </c>
      <c r="AY222" s="2">
        <v>402</v>
      </c>
      <c r="AZ222" s="77" t="str">
        <f>VLOOKUP(B222,Classification!A:D,2,0)</f>
        <v>A</v>
      </c>
      <c r="BA222" s="94" t="str">
        <f>VLOOKUP(B222,Classification!A:D,4,0)</f>
        <v>Endothelin</v>
      </c>
      <c r="BB222" s="27" t="b">
        <f t="shared" si="1732"/>
        <v>1</v>
      </c>
      <c r="BC222" s="23">
        <f t="shared" si="1733"/>
        <v>264</v>
      </c>
      <c r="BD222" s="2" t="s">
        <v>23</v>
      </c>
      <c r="BE222" s="3" t="s">
        <v>1368</v>
      </c>
      <c r="BF222" s="118">
        <v>3.6</v>
      </c>
      <c r="BG222" s="49" t="s">
        <v>1</v>
      </c>
      <c r="BH222" s="49" t="s">
        <v>1</v>
      </c>
      <c r="BI222" s="2"/>
      <c r="BJ222" s="70" t="s">
        <v>1281</v>
      </c>
      <c r="BK222" s="57" t="s">
        <v>1281</v>
      </c>
      <c r="BL222" s="57" t="s">
        <v>1281</v>
      </c>
      <c r="BM222" s="57" t="s">
        <v>1281</v>
      </c>
      <c r="BN222" s="57" t="s">
        <v>1281</v>
      </c>
      <c r="BO222" s="57" t="s">
        <v>1281</v>
      </c>
      <c r="BP222" s="57" t="s">
        <v>1281</v>
      </c>
      <c r="BQ222" s="57" t="s">
        <v>1281</v>
      </c>
      <c r="BR222" s="57" t="s">
        <v>1281</v>
      </c>
      <c r="BS222" s="57" t="s">
        <v>1281</v>
      </c>
      <c r="BT222" s="57" t="s">
        <v>1281</v>
      </c>
      <c r="BU222" s="57" t="s">
        <v>1281</v>
      </c>
      <c r="BV222" s="70">
        <f t="shared" si="1734"/>
        <v>92</v>
      </c>
      <c r="BW222" s="71">
        <f t="shared" si="1735"/>
        <v>130</v>
      </c>
      <c r="BX222" s="72">
        <f t="shared" si="1736"/>
        <v>135</v>
      </c>
      <c r="BY222" s="71">
        <f t="shared" si="1737"/>
        <v>166</v>
      </c>
      <c r="BZ222" s="72">
        <f t="shared" si="1738"/>
        <v>171</v>
      </c>
      <c r="CA222" s="71" t="str">
        <f t="shared" si="1739"/>
        <v>-</v>
      </c>
      <c r="CB222" s="72">
        <f t="shared" si="1740"/>
        <v>216</v>
      </c>
      <c r="CC222" s="71">
        <f t="shared" si="1741"/>
        <v>255</v>
      </c>
      <c r="CD222" s="72">
        <f t="shared" si="1742"/>
        <v>263</v>
      </c>
      <c r="CE222" s="71">
        <f t="shared" si="1743"/>
        <v>312</v>
      </c>
      <c r="CF222" s="72">
        <f t="shared" si="1744"/>
        <v>356</v>
      </c>
      <c r="CG222" s="71">
        <f t="shared" si="1745"/>
        <v>390</v>
      </c>
      <c r="CH222" s="70">
        <f t="shared" si="1746"/>
        <v>129</v>
      </c>
      <c r="CI222" s="71">
        <f t="shared" si="1747"/>
        <v>134</v>
      </c>
      <c r="CJ222" s="72">
        <f t="shared" si="1748"/>
        <v>164</v>
      </c>
      <c r="CK222" s="72">
        <f t="shared" si="1749"/>
        <v>169</v>
      </c>
      <c r="CL222" s="72">
        <f t="shared" si="1750"/>
        <v>202</v>
      </c>
      <c r="CM222" s="72" t="str">
        <f t="shared" si="1751"/>
        <v>-</v>
      </c>
      <c r="CN222" s="72">
        <f t="shared" si="1752"/>
        <v>240</v>
      </c>
      <c r="CO222" s="72">
        <f t="shared" si="1753"/>
        <v>257</v>
      </c>
      <c r="CP222" s="72">
        <f t="shared" si="1754"/>
        <v>303</v>
      </c>
      <c r="CQ222" s="72">
        <f t="shared" si="1755"/>
        <v>349</v>
      </c>
      <c r="CR222" s="72">
        <f t="shared" si="1756"/>
        <v>389</v>
      </c>
      <c r="CS222" s="72">
        <f t="shared" si="1757"/>
        <v>402</v>
      </c>
      <c r="CT222" s="23">
        <f t="shared" si="1758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s="12" customFormat="1" x14ac:dyDescent="0.2">
      <c r="A223" s="9" t="str">
        <f t="shared" si="1731"/>
        <v>ednrb_human_6IGL</v>
      </c>
      <c r="B223" s="40" t="s">
        <v>196</v>
      </c>
      <c r="C223" s="40" t="s">
        <v>1522</v>
      </c>
      <c r="D223" s="9" t="str">
        <f>IFERROR(MID(VLOOKUP($B223,Seqs!$A:$B,2,0),E223,1),"")</f>
        <v>K</v>
      </c>
      <c r="E223" s="40">
        <v>97</v>
      </c>
      <c r="F223" s="9" t="str">
        <f>IFERROR(MID(VLOOKUP($B223,Seqs!$A:$B,2,0),G223,1),"")</f>
        <v>N</v>
      </c>
      <c r="G223" s="40">
        <v>129</v>
      </c>
      <c r="H223" s="9" t="str">
        <f>IFERROR(MID(VLOOKUP($B223,Seqs!$A:$B,2,0),I223,1),"")</f>
        <v/>
      </c>
      <c r="I223" s="129" t="s">
        <v>23</v>
      </c>
      <c r="J223" s="9" t="str">
        <f>IFERROR(MID(VLOOKUP($B223,Seqs!$A:$B,2,0),K223,1),"")</f>
        <v/>
      </c>
      <c r="K223" s="129" t="s">
        <v>23</v>
      </c>
      <c r="L223" s="9" t="str">
        <f>IFERROR(MID(VLOOKUP($B223,Seqs!$A:$B,2,0),M223,1),"")</f>
        <v>N</v>
      </c>
      <c r="M223" s="40">
        <v>134</v>
      </c>
      <c r="N223" s="9" t="str">
        <f>IFERROR(MID(VLOOKUP($B223,Seqs!$A:$B,2,0),O223,1),"")</f>
        <v>E</v>
      </c>
      <c r="O223" s="40">
        <v>165</v>
      </c>
      <c r="P223" s="9" t="str">
        <f>IFERROR(MID(VLOOKUP($B223,Seqs!$A:$B,2,0),Q223,1),"")</f>
        <v>D</v>
      </c>
      <c r="Q223" s="40">
        <v>166</v>
      </c>
      <c r="R223" s="9" t="str">
        <f>IFERROR(MID(VLOOKUP($B223,Seqs!$A:$B,2,0),S223,1),"")</f>
        <v>F</v>
      </c>
      <c r="S223" s="40">
        <v>169</v>
      </c>
      <c r="T223" s="9" t="str">
        <f>IFERROR(MID(VLOOKUP($B223,Seqs!$A:$B,2,0),U223,1),"")</f>
        <v>G</v>
      </c>
      <c r="U223" s="11">
        <v>170</v>
      </c>
      <c r="V223" s="9" t="str">
        <f>IFERROR(MID(VLOOKUP($B223,Seqs!$A:$B,2,0),W223,1),"")</f>
        <v>V</v>
      </c>
      <c r="W223" s="40">
        <v>203</v>
      </c>
      <c r="X223" s="9" t="str">
        <f>IFERROR(MID(VLOOKUP($B223,Seqs!$A:$B,2,0),Y223,1),"")</f>
        <v/>
      </c>
      <c r="Y223" s="40" t="s">
        <v>23</v>
      </c>
      <c r="Z223" s="9" t="str">
        <f>IFERROR(MID(VLOOKUP($B223,Seqs!$A:$B,2,0),AA223,1),"")</f>
        <v/>
      </c>
      <c r="AA223" s="40" t="s">
        <v>23</v>
      </c>
      <c r="AB223" s="9" t="str">
        <f>IFERROR(MID(VLOOKUP($B223,Seqs!$A:$B,2,0),AC223,1),"")</f>
        <v>W</v>
      </c>
      <c r="AC223" s="40">
        <v>217</v>
      </c>
      <c r="AD223" s="9" t="str">
        <f>IFERROR(MID(VLOOKUP($B223,Seqs!$A:$B,2,0),AE223,1),"")</f>
        <v>F</v>
      </c>
      <c r="AE223" s="40">
        <v>240</v>
      </c>
      <c r="AF223" s="9" t="str">
        <f>IFERROR(MID(VLOOKUP($B223,Seqs!$A:$B,2,0),AG223,1),"")</f>
        <v>C</v>
      </c>
      <c r="AG223" s="40">
        <v>255</v>
      </c>
      <c r="AH223" s="9" t="str">
        <f>IFERROR(MID(VLOOKUP($B223,Seqs!$A:$B,2,0),AI223,1),"")</f>
        <v>L</v>
      </c>
      <c r="AI223" s="40">
        <v>257</v>
      </c>
      <c r="AJ223" s="9" t="str">
        <f>IFERROR(MID(VLOOKUP($B223,Seqs!$A:$B,2,0),AK223,1),"")</f>
        <v>T</v>
      </c>
      <c r="AK223" s="40">
        <v>263</v>
      </c>
      <c r="AL223" s="9" t="str">
        <f>IFERROR(MID(VLOOKUP($B223,Seqs!$A:$B,2,0),AM223,1),"")</f>
        <v>K</v>
      </c>
      <c r="AM223" s="40">
        <v>303</v>
      </c>
      <c r="AN223" s="9" t="str">
        <f>IFERROR(MID(VLOOKUP($B223,Seqs!$A:$B,2,0),AO223,1),"")</f>
        <v>N</v>
      </c>
      <c r="AO223" s="40">
        <v>312</v>
      </c>
      <c r="AP223" s="9" t="str">
        <f>IFERROR(MID(VLOOKUP($B223,Seqs!$A:$B,2,0),AQ223,1),"")</f>
        <v>Y</v>
      </c>
      <c r="AQ223" s="40">
        <v>350</v>
      </c>
      <c r="AR223" s="9" t="str">
        <f>IFERROR(MID(VLOOKUP($B223,Seqs!$A:$B,2,0),AS223,1),"")</f>
        <v>R</v>
      </c>
      <c r="AS223" s="40">
        <v>357</v>
      </c>
      <c r="AT223" s="9" t="str">
        <f>IFERROR(MID(VLOOKUP($B223,Seqs!$A:$B,2,0),AU223,1),"")</f>
        <v>V</v>
      </c>
      <c r="AU223" s="40">
        <v>389</v>
      </c>
      <c r="AV223" s="9" t="str">
        <f>IFERROR(MID(VLOOKUP($B223,Seqs!$A:$B,2,0),AW223,1),"")</f>
        <v>S</v>
      </c>
      <c r="AW223" s="40">
        <v>390</v>
      </c>
      <c r="AX223" s="9" t="str">
        <f>IFERROR(MID(VLOOKUP($B223,Seqs!$A:$B,2,0),AY223,1),"")</f>
        <v>L</v>
      </c>
      <c r="AY223" s="40">
        <v>401</v>
      </c>
      <c r="AZ223" s="110" t="str">
        <f>VLOOKUP(B223,Classification!A:D,2,0)</f>
        <v>A</v>
      </c>
      <c r="BA223" s="98" t="str">
        <f>VLOOKUP(B223,Classification!A:D,4,0)</f>
        <v>Endothelin</v>
      </c>
      <c r="BB223" s="36" t="b">
        <f t="shared" si="1732"/>
        <v>1</v>
      </c>
      <c r="BC223" s="109">
        <f t="shared" si="1733"/>
        <v>257</v>
      </c>
      <c r="BD223" s="40" t="s">
        <v>23</v>
      </c>
      <c r="BE223" s="9" t="s">
        <v>1368</v>
      </c>
      <c r="BF223" s="119">
        <v>2.7</v>
      </c>
      <c r="BG223" s="51" t="s">
        <v>1</v>
      </c>
      <c r="BH223" s="51" t="s">
        <v>1</v>
      </c>
      <c r="BI223" s="40"/>
      <c r="BJ223" s="111" t="s">
        <v>1281</v>
      </c>
      <c r="BK223" s="112" t="s">
        <v>1281</v>
      </c>
      <c r="BL223" s="112" t="s">
        <v>1281</v>
      </c>
      <c r="BM223" s="112" t="s">
        <v>1281</v>
      </c>
      <c r="BN223" s="112" t="s">
        <v>1281</v>
      </c>
      <c r="BO223" s="112" t="s">
        <v>1281</v>
      </c>
      <c r="BP223" s="112" t="s">
        <v>1281</v>
      </c>
      <c r="BQ223" s="112" t="s">
        <v>1281</v>
      </c>
      <c r="BR223" s="112" t="s">
        <v>1281</v>
      </c>
      <c r="BS223" s="112" t="s">
        <v>1281</v>
      </c>
      <c r="BT223" s="112" t="s">
        <v>1281</v>
      </c>
      <c r="BU223" s="112" t="s">
        <v>1281</v>
      </c>
      <c r="BV223" s="111">
        <f t="shared" si="1734"/>
        <v>97</v>
      </c>
      <c r="BW223" s="113" t="str">
        <f t="shared" si="1735"/>
        <v>-</v>
      </c>
      <c r="BX223" s="114">
        <f t="shared" si="1736"/>
        <v>134</v>
      </c>
      <c r="BY223" s="113">
        <f t="shared" si="1737"/>
        <v>166</v>
      </c>
      <c r="BZ223" s="114">
        <f t="shared" si="1738"/>
        <v>170</v>
      </c>
      <c r="CA223" s="113" t="str">
        <f t="shared" si="1739"/>
        <v>-</v>
      </c>
      <c r="CB223" s="114">
        <f t="shared" si="1740"/>
        <v>217</v>
      </c>
      <c r="CC223" s="113">
        <f t="shared" si="1741"/>
        <v>255</v>
      </c>
      <c r="CD223" s="114">
        <f t="shared" si="1742"/>
        <v>263</v>
      </c>
      <c r="CE223" s="113">
        <f t="shared" si="1743"/>
        <v>312</v>
      </c>
      <c r="CF223" s="114">
        <f t="shared" si="1744"/>
        <v>357</v>
      </c>
      <c r="CG223" s="113">
        <f t="shared" si="1745"/>
        <v>390</v>
      </c>
      <c r="CH223" s="111">
        <f t="shared" si="1746"/>
        <v>129</v>
      </c>
      <c r="CI223" s="113" t="str">
        <f t="shared" si="1747"/>
        <v>-</v>
      </c>
      <c r="CJ223" s="114">
        <f t="shared" si="1748"/>
        <v>165</v>
      </c>
      <c r="CK223" s="114">
        <f t="shared" si="1749"/>
        <v>169</v>
      </c>
      <c r="CL223" s="114">
        <f t="shared" si="1750"/>
        <v>203</v>
      </c>
      <c r="CM223" s="114" t="str">
        <f t="shared" si="1751"/>
        <v>-</v>
      </c>
      <c r="CN223" s="114">
        <f t="shared" si="1752"/>
        <v>240</v>
      </c>
      <c r="CO223" s="114">
        <f t="shared" si="1753"/>
        <v>257</v>
      </c>
      <c r="CP223" s="114">
        <f t="shared" si="1754"/>
        <v>303</v>
      </c>
      <c r="CQ223" s="114">
        <f t="shared" si="1755"/>
        <v>350</v>
      </c>
      <c r="CR223" s="114">
        <f t="shared" si="1756"/>
        <v>389</v>
      </c>
      <c r="CS223" s="114">
        <f t="shared" si="1757"/>
        <v>401</v>
      </c>
      <c r="CT223" s="109" t="e">
        <f t="shared" si="1758"/>
        <v>#VALUE!</v>
      </c>
    </row>
    <row r="224" spans="1:1029" s="12" customFormat="1" x14ac:dyDescent="0.2">
      <c r="A224" s="9" t="str">
        <f t="shared" si="1731"/>
        <v>ednrb_human_6IGK</v>
      </c>
      <c r="B224" s="40" t="s">
        <v>196</v>
      </c>
      <c r="C224" s="40" t="s">
        <v>1523</v>
      </c>
      <c r="D224" s="9" t="str">
        <f>IFERROR(MID(VLOOKUP($B224,Seqs!$A:$B,2,0),E224,1),"")</f>
        <v>K</v>
      </c>
      <c r="E224" s="40">
        <v>97</v>
      </c>
      <c r="F224" s="9" t="str">
        <f>IFERROR(MID(VLOOKUP($B224,Seqs!$A:$B,2,0),G224,1),"")</f>
        <v>N</v>
      </c>
      <c r="G224" s="40">
        <v>129</v>
      </c>
      <c r="H224" s="9" t="str">
        <f>IFERROR(MID(VLOOKUP($B224,Seqs!$A:$B,2,0),I224,1),"")</f>
        <v/>
      </c>
      <c r="I224" s="129" t="s">
        <v>23</v>
      </c>
      <c r="J224" s="9" t="str">
        <f>IFERROR(MID(VLOOKUP($B224,Seqs!$A:$B,2,0),K224,1),"")</f>
        <v/>
      </c>
      <c r="K224" s="129" t="s">
        <v>23</v>
      </c>
      <c r="L224" s="9" t="str">
        <f>IFERROR(MID(VLOOKUP($B224,Seqs!$A:$B,2,0),M224,1),"")</f>
        <v>N</v>
      </c>
      <c r="M224" s="40">
        <v>134</v>
      </c>
      <c r="N224" s="9" t="str">
        <f>IFERROR(MID(VLOOKUP($B224,Seqs!$A:$B,2,0),O224,1),"")</f>
        <v>E</v>
      </c>
      <c r="O224" s="40">
        <v>165</v>
      </c>
      <c r="P224" s="9" t="str">
        <f>IFERROR(MID(VLOOKUP($B224,Seqs!$A:$B,2,0),Q224,1),"")</f>
        <v>D</v>
      </c>
      <c r="Q224" s="40">
        <v>166</v>
      </c>
      <c r="R224" s="9" t="str">
        <f>IFERROR(MID(VLOOKUP($B224,Seqs!$A:$B,2,0),S224,1),"")</f>
        <v>F</v>
      </c>
      <c r="S224" s="40">
        <v>169</v>
      </c>
      <c r="T224" s="9" t="str">
        <f>IFERROR(MID(VLOOKUP($B224,Seqs!$A:$B,2,0),U224,1),"")</f>
        <v>G</v>
      </c>
      <c r="U224" s="11">
        <v>170</v>
      </c>
      <c r="V224" s="9" t="str">
        <f>IFERROR(MID(VLOOKUP($B224,Seqs!$A:$B,2,0),W224,1),"")</f>
        <v>S</v>
      </c>
      <c r="W224" s="40">
        <v>205</v>
      </c>
      <c r="X224" s="9" t="str">
        <f>IFERROR(MID(VLOOKUP($B224,Seqs!$A:$B,2,0),Y224,1),"")</f>
        <v/>
      </c>
      <c r="Y224" s="40" t="s">
        <v>23</v>
      </c>
      <c r="Z224" s="9" t="str">
        <f>IFERROR(MID(VLOOKUP($B224,Seqs!$A:$B,2,0),AA224,1),"")</f>
        <v/>
      </c>
      <c r="AA224" s="40" t="s">
        <v>23</v>
      </c>
      <c r="AB224" s="9" t="str">
        <f>IFERROR(MID(VLOOKUP($B224,Seqs!$A:$B,2,0),AC224,1),"")</f>
        <v>P</v>
      </c>
      <c r="AC224" s="40">
        <v>215</v>
      </c>
      <c r="AD224" s="9" t="str">
        <f>IFERROR(MID(VLOOKUP($B224,Seqs!$A:$B,2,0),AE224,1),"")</f>
        <v>F</v>
      </c>
      <c r="AE224" s="40">
        <v>240</v>
      </c>
      <c r="AF224" s="9" t="str">
        <f>IFERROR(MID(VLOOKUP($B224,Seqs!$A:$B,2,0),AG224,1),"")</f>
        <v>C</v>
      </c>
      <c r="AG224" s="40">
        <v>255</v>
      </c>
      <c r="AH224" s="9" t="str">
        <f>IFERROR(MID(VLOOKUP($B224,Seqs!$A:$B,2,0),AI224,1),"")</f>
        <v>L</v>
      </c>
      <c r="AI224" s="40">
        <v>257</v>
      </c>
      <c r="AJ224" s="9" t="str">
        <f>IFERROR(MID(VLOOKUP($B224,Seqs!$A:$B,2,0),AK224,1),"")</f>
        <v>T</v>
      </c>
      <c r="AK224" s="40">
        <v>263</v>
      </c>
      <c r="AL224" s="9" t="str">
        <f>IFERROR(MID(VLOOKUP($B224,Seqs!$A:$B,2,0),AM224,1),"")</f>
        <v>K</v>
      </c>
      <c r="AM224" s="40">
        <v>303</v>
      </c>
      <c r="AN224" s="9" t="str">
        <f>IFERROR(MID(VLOOKUP($B224,Seqs!$A:$B,2,0),AO224,1),"")</f>
        <v>N</v>
      </c>
      <c r="AO224" s="40">
        <v>312</v>
      </c>
      <c r="AP224" s="9" t="str">
        <f>IFERROR(MID(VLOOKUP($B224,Seqs!$A:$B,2,0),AQ224,1),"")</f>
        <v>Y</v>
      </c>
      <c r="AQ224" s="40">
        <v>350</v>
      </c>
      <c r="AR224" s="9" t="str">
        <f>IFERROR(MID(VLOOKUP($B224,Seqs!$A:$B,2,0),AS224,1),"")</f>
        <v>N</v>
      </c>
      <c r="AS224" s="40">
        <v>356</v>
      </c>
      <c r="AT224" s="9" t="str">
        <f>IFERROR(MID(VLOOKUP($B224,Seqs!$A:$B,2,0),AU224,1),"")</f>
        <v>V</v>
      </c>
      <c r="AU224" s="40">
        <v>389</v>
      </c>
      <c r="AV224" s="9" t="str">
        <f>IFERROR(MID(VLOOKUP($B224,Seqs!$A:$B,2,0),AW224,1),"")</f>
        <v>S</v>
      </c>
      <c r="AW224" s="40">
        <v>390</v>
      </c>
      <c r="AX224" s="9" t="str">
        <f>IFERROR(MID(VLOOKUP($B224,Seqs!$A:$B,2,0),AY224,1),"")</f>
        <v>C</v>
      </c>
      <c r="AY224" s="40">
        <v>402</v>
      </c>
      <c r="AZ224" s="110" t="str">
        <f>VLOOKUP(B224,Classification!A:D,2,0)</f>
        <v>A</v>
      </c>
      <c r="BA224" s="98" t="str">
        <f>VLOOKUP(B224,Classification!A:D,4,0)</f>
        <v>Endothelin</v>
      </c>
      <c r="BB224" s="36" t="b">
        <f t="shared" si="1732"/>
        <v>1</v>
      </c>
      <c r="BC224" s="109">
        <f t="shared" si="1733"/>
        <v>263</v>
      </c>
      <c r="BD224" s="40" t="s">
        <v>23</v>
      </c>
      <c r="BE224" s="9" t="s">
        <v>1368</v>
      </c>
      <c r="BF224" s="119">
        <v>2</v>
      </c>
      <c r="BG224" s="51" t="s">
        <v>1</v>
      </c>
      <c r="BH224" s="51" t="s">
        <v>1</v>
      </c>
      <c r="BI224" s="40"/>
      <c r="BJ224" s="111" t="s">
        <v>1281</v>
      </c>
      <c r="BK224" s="112" t="s">
        <v>1281</v>
      </c>
      <c r="BL224" s="112" t="s">
        <v>1281</v>
      </c>
      <c r="BM224" s="112" t="s">
        <v>1281</v>
      </c>
      <c r="BN224" s="112" t="s">
        <v>1281</v>
      </c>
      <c r="BO224" s="112" t="s">
        <v>1281</v>
      </c>
      <c r="BP224" s="112" t="s">
        <v>1281</v>
      </c>
      <c r="BQ224" s="112" t="s">
        <v>1281</v>
      </c>
      <c r="BR224" s="112" t="s">
        <v>1281</v>
      </c>
      <c r="BS224" s="112" t="s">
        <v>1281</v>
      </c>
      <c r="BT224" s="112" t="s">
        <v>1281</v>
      </c>
      <c r="BU224" s="112" t="s">
        <v>1281</v>
      </c>
      <c r="BV224" s="111">
        <f t="shared" si="1734"/>
        <v>97</v>
      </c>
      <c r="BW224" s="113" t="str">
        <f t="shared" si="1735"/>
        <v>-</v>
      </c>
      <c r="BX224" s="114">
        <f t="shared" si="1736"/>
        <v>134</v>
      </c>
      <c r="BY224" s="113">
        <f t="shared" si="1737"/>
        <v>166</v>
      </c>
      <c r="BZ224" s="114">
        <f t="shared" si="1738"/>
        <v>170</v>
      </c>
      <c r="CA224" s="113" t="str">
        <f t="shared" si="1739"/>
        <v>-</v>
      </c>
      <c r="CB224" s="114">
        <f t="shared" si="1740"/>
        <v>215</v>
      </c>
      <c r="CC224" s="113">
        <f t="shared" si="1741"/>
        <v>255</v>
      </c>
      <c r="CD224" s="114">
        <f t="shared" si="1742"/>
        <v>263</v>
      </c>
      <c r="CE224" s="113">
        <f t="shared" si="1743"/>
        <v>312</v>
      </c>
      <c r="CF224" s="114">
        <f t="shared" si="1744"/>
        <v>356</v>
      </c>
      <c r="CG224" s="113">
        <f t="shared" si="1745"/>
        <v>390</v>
      </c>
      <c r="CH224" s="111">
        <f t="shared" si="1746"/>
        <v>129</v>
      </c>
      <c r="CI224" s="113" t="str">
        <f t="shared" si="1747"/>
        <v>-</v>
      </c>
      <c r="CJ224" s="114">
        <f t="shared" si="1748"/>
        <v>165</v>
      </c>
      <c r="CK224" s="114">
        <f t="shared" si="1749"/>
        <v>169</v>
      </c>
      <c r="CL224" s="114">
        <f t="shared" si="1750"/>
        <v>205</v>
      </c>
      <c r="CM224" s="114" t="str">
        <f t="shared" si="1751"/>
        <v>-</v>
      </c>
      <c r="CN224" s="114">
        <f t="shared" si="1752"/>
        <v>240</v>
      </c>
      <c r="CO224" s="114">
        <f t="shared" si="1753"/>
        <v>257</v>
      </c>
      <c r="CP224" s="114">
        <f t="shared" si="1754"/>
        <v>303</v>
      </c>
      <c r="CQ224" s="114">
        <f t="shared" si="1755"/>
        <v>350</v>
      </c>
      <c r="CR224" s="114">
        <f t="shared" si="1756"/>
        <v>389</v>
      </c>
      <c r="CS224" s="114">
        <f t="shared" si="1757"/>
        <v>402</v>
      </c>
      <c r="CT224" s="109" t="e">
        <f t="shared" si="1758"/>
        <v>#VALUE!</v>
      </c>
    </row>
    <row r="225" spans="1:1029" s="12" customFormat="1" x14ac:dyDescent="0.2">
      <c r="A225" s="9" t="str">
        <f t="shared" si="1731"/>
        <v>ednrb_human_6K1Q</v>
      </c>
      <c r="B225" s="40" t="s">
        <v>196</v>
      </c>
      <c r="C225" s="40" t="s">
        <v>1580</v>
      </c>
      <c r="D225" s="9" t="str">
        <f>IFERROR(MID(VLOOKUP($B225,Seqs!$A:$B,2,0),E225,1),"")</f>
        <v>Q</v>
      </c>
      <c r="E225" s="40">
        <v>91</v>
      </c>
      <c r="F225" s="9" t="str">
        <f>IFERROR(MID(VLOOKUP($B225,Seqs!$A:$B,2,0),G225,1),"")</f>
        <v>N</v>
      </c>
      <c r="G225" s="40">
        <v>129</v>
      </c>
      <c r="H225" s="9" t="str">
        <f>IFERROR(MID(VLOOKUP($B225,Seqs!$A:$B,2,0),I225,1),"")</f>
        <v/>
      </c>
      <c r="I225" s="129" t="s">
        <v>23</v>
      </c>
      <c r="J225" s="9" t="str">
        <f>IFERROR(MID(VLOOKUP($B225,Seqs!$A:$B,2,0),K225,1),"")</f>
        <v/>
      </c>
      <c r="K225" s="129" t="s">
        <v>23</v>
      </c>
      <c r="L225" s="9" t="str">
        <f>IFERROR(MID(VLOOKUP($B225,Seqs!$A:$B,2,0),M225,1),"")</f>
        <v>N</v>
      </c>
      <c r="M225" s="40">
        <v>134</v>
      </c>
      <c r="N225" s="9" t="str">
        <f>IFERROR(MID(VLOOKUP($B225,Seqs!$A:$B,2,0),O225,1),"")</f>
        <v>A</v>
      </c>
      <c r="O225" s="40">
        <v>164</v>
      </c>
      <c r="P225" s="9" t="str">
        <f>IFERROR(MID(VLOOKUP($B225,Seqs!$A:$B,2,0),Q225,1),"")</f>
        <v>D</v>
      </c>
      <c r="Q225" s="40">
        <v>166</v>
      </c>
      <c r="R225" s="9" t="str">
        <f>IFERROR(MID(VLOOKUP($B225,Seqs!$A:$B,2,0),S225,1),"")</f>
        <v>F</v>
      </c>
      <c r="S225" s="40">
        <v>169</v>
      </c>
      <c r="T225" s="9" t="str">
        <f>IFERROR(MID(VLOOKUP($B225,Seqs!$A:$B,2,0),U225,1),"")</f>
        <v>G</v>
      </c>
      <c r="U225" s="11">
        <v>170</v>
      </c>
      <c r="V225" s="9" t="str">
        <f>IFERROR(MID(VLOOKUP($B225,Seqs!$A:$B,2,0),W225,1),"")</f>
        <v>V</v>
      </c>
      <c r="W225" s="40">
        <v>203</v>
      </c>
      <c r="X225" s="9" t="str">
        <f>IFERROR(MID(VLOOKUP($B225,Seqs!$A:$B,2,0),Y225,1),"")</f>
        <v/>
      </c>
      <c r="Y225" s="40" t="s">
        <v>23</v>
      </c>
      <c r="Z225" s="9" t="str">
        <f>IFERROR(MID(VLOOKUP($B225,Seqs!$A:$B,2,0),AA225,1),"")</f>
        <v/>
      </c>
      <c r="AA225" s="40" t="s">
        <v>23</v>
      </c>
      <c r="AB225" s="9" t="str">
        <f>IFERROR(MID(VLOOKUP($B225,Seqs!$A:$B,2,0),AC225,1),"")</f>
        <v>K</v>
      </c>
      <c r="AC225" s="40">
        <v>216</v>
      </c>
      <c r="AD225" s="9" t="str">
        <f>IFERROR(MID(VLOOKUP($B225,Seqs!$A:$B,2,0),AE225,1),"")</f>
        <v>F</v>
      </c>
      <c r="AE225" s="40">
        <v>240</v>
      </c>
      <c r="AF225" s="9" t="str">
        <f>IFERROR(MID(VLOOKUP($B225,Seqs!$A:$B,2,0),AG225,1),"")</f>
        <v>C</v>
      </c>
      <c r="AG225" s="40">
        <v>255</v>
      </c>
      <c r="AH225" s="9" t="str">
        <f>IFERROR(MID(VLOOKUP($B225,Seqs!$A:$B,2,0),AI225,1),"")</f>
        <v>L</v>
      </c>
      <c r="AI225" s="40">
        <v>257</v>
      </c>
      <c r="AJ225" s="9" t="str">
        <f>IFERROR(MID(VLOOKUP($B225,Seqs!$A:$B,2,0),AK225,1),"")</f>
        <v>T</v>
      </c>
      <c r="AK225" s="40">
        <v>263</v>
      </c>
      <c r="AL225" s="9" t="str">
        <f>IFERROR(MID(VLOOKUP($B225,Seqs!$A:$B,2,0),AM225,1),"")</f>
        <v>K</v>
      </c>
      <c r="AM225" s="40">
        <v>303</v>
      </c>
      <c r="AN225" s="9" t="str">
        <f>IFERROR(MID(VLOOKUP($B225,Seqs!$A:$B,2,0),AO225,1),"")</f>
        <v>N</v>
      </c>
      <c r="AO225" s="40">
        <v>312</v>
      </c>
      <c r="AP225" s="9" t="str">
        <f>IFERROR(MID(VLOOKUP($B225,Seqs!$A:$B,2,0),AQ225,1),"")</f>
        <v>L</v>
      </c>
      <c r="AQ225" s="40">
        <v>349</v>
      </c>
      <c r="AR225" s="9" t="str">
        <f>IFERROR(MID(VLOOKUP($B225,Seqs!$A:$B,2,0),AS225,1),"")</f>
        <v>N</v>
      </c>
      <c r="AS225" s="40">
        <v>356</v>
      </c>
      <c r="AT225" s="9" t="str">
        <f>IFERROR(MID(VLOOKUP($B225,Seqs!$A:$B,2,0),AU225,1),"")</f>
        <v>V</v>
      </c>
      <c r="AU225" s="40">
        <v>389</v>
      </c>
      <c r="AV225" s="9" t="str">
        <f>IFERROR(MID(VLOOKUP($B225,Seqs!$A:$B,2,0),AW225,1),"")</f>
        <v>S</v>
      </c>
      <c r="AW225" s="40">
        <v>390</v>
      </c>
      <c r="AX225" s="9" t="str">
        <f>IFERROR(MID(VLOOKUP($B225,Seqs!$A:$B,2,0),AY225,1),"")</f>
        <v>C</v>
      </c>
      <c r="AY225" s="40">
        <v>403</v>
      </c>
      <c r="AZ225" s="110" t="str">
        <f>VLOOKUP(B225,Classification!A:D,2,0)</f>
        <v>A</v>
      </c>
      <c r="BA225" s="98" t="str">
        <f>VLOOKUP(B225,Classification!A:D,4,0)</f>
        <v>Endothelin</v>
      </c>
      <c r="BB225" s="36" t="b">
        <f t="shared" si="1732"/>
        <v>1</v>
      </c>
      <c r="BC225" s="109">
        <f t="shared" si="1733"/>
        <v>265</v>
      </c>
      <c r="BD225" s="40" t="s">
        <v>23</v>
      </c>
      <c r="BE225" s="9" t="s">
        <v>1368</v>
      </c>
      <c r="BF225" s="119">
        <v>2.7</v>
      </c>
      <c r="BG225" s="51" t="s">
        <v>1</v>
      </c>
      <c r="BH225" s="51" t="s">
        <v>1</v>
      </c>
      <c r="BI225" s="40"/>
      <c r="BJ225" s="111" t="s">
        <v>1281</v>
      </c>
      <c r="BK225" s="112" t="s">
        <v>1281</v>
      </c>
      <c r="BL225" s="112" t="s">
        <v>1281</v>
      </c>
      <c r="BM225" s="112" t="s">
        <v>1281</v>
      </c>
      <c r="BN225" s="112" t="s">
        <v>1281</v>
      </c>
      <c r="BO225" s="112" t="s">
        <v>1281</v>
      </c>
      <c r="BP225" s="112" t="s">
        <v>1281</v>
      </c>
      <c r="BQ225" s="112" t="s">
        <v>1281</v>
      </c>
      <c r="BR225" s="112" t="s">
        <v>1281</v>
      </c>
      <c r="BS225" s="112" t="s">
        <v>1281</v>
      </c>
      <c r="BT225" s="112" t="s">
        <v>1281</v>
      </c>
      <c r="BU225" s="112" t="s">
        <v>1281</v>
      </c>
      <c r="BV225" s="111">
        <f t="shared" si="1734"/>
        <v>91</v>
      </c>
      <c r="BW225" s="113" t="str">
        <f t="shared" si="1735"/>
        <v>-</v>
      </c>
      <c r="BX225" s="114">
        <f t="shared" si="1736"/>
        <v>134</v>
      </c>
      <c r="BY225" s="113">
        <f t="shared" si="1737"/>
        <v>166</v>
      </c>
      <c r="BZ225" s="114">
        <f t="shared" si="1738"/>
        <v>170</v>
      </c>
      <c r="CA225" s="113" t="str">
        <f t="shared" si="1739"/>
        <v>-</v>
      </c>
      <c r="CB225" s="114">
        <f t="shared" si="1740"/>
        <v>216</v>
      </c>
      <c r="CC225" s="113">
        <f t="shared" si="1741"/>
        <v>255</v>
      </c>
      <c r="CD225" s="114">
        <f t="shared" si="1742"/>
        <v>263</v>
      </c>
      <c r="CE225" s="113">
        <f t="shared" si="1743"/>
        <v>312</v>
      </c>
      <c r="CF225" s="114">
        <f t="shared" si="1744"/>
        <v>356</v>
      </c>
      <c r="CG225" s="113">
        <f t="shared" si="1745"/>
        <v>390</v>
      </c>
      <c r="CH225" s="111">
        <f t="shared" si="1746"/>
        <v>129</v>
      </c>
      <c r="CI225" s="113" t="str">
        <f t="shared" si="1747"/>
        <v>-</v>
      </c>
      <c r="CJ225" s="114">
        <f t="shared" si="1748"/>
        <v>164</v>
      </c>
      <c r="CK225" s="114">
        <f t="shared" si="1749"/>
        <v>169</v>
      </c>
      <c r="CL225" s="114">
        <f t="shared" si="1750"/>
        <v>203</v>
      </c>
      <c r="CM225" s="114" t="str">
        <f t="shared" si="1751"/>
        <v>-</v>
      </c>
      <c r="CN225" s="114">
        <f t="shared" si="1752"/>
        <v>240</v>
      </c>
      <c r="CO225" s="114">
        <f t="shared" si="1753"/>
        <v>257</v>
      </c>
      <c r="CP225" s="114">
        <f t="shared" si="1754"/>
        <v>303</v>
      </c>
      <c r="CQ225" s="114">
        <f t="shared" si="1755"/>
        <v>349</v>
      </c>
      <c r="CR225" s="114">
        <f t="shared" si="1756"/>
        <v>389</v>
      </c>
      <c r="CS225" s="114">
        <f t="shared" si="1757"/>
        <v>403</v>
      </c>
      <c r="CT225" s="109" t="e">
        <f t="shared" si="1758"/>
        <v>#VALUE!</v>
      </c>
    </row>
    <row r="226" spans="1:1029" s="12" customFormat="1" x14ac:dyDescent="0.2">
      <c r="A226" s="9" t="str">
        <f t="shared" si="1731"/>
        <v>ednrb_human_6LRY</v>
      </c>
      <c r="B226" s="40" t="s">
        <v>196</v>
      </c>
      <c r="C226" s="40" t="s">
        <v>1642</v>
      </c>
      <c r="D226" s="9" t="str">
        <f>IFERROR(MID(VLOOKUP($B226,Seqs!$A:$B,2,0),E226,1),"")</f>
        <v>K</v>
      </c>
      <c r="E226" s="40">
        <v>97</v>
      </c>
      <c r="F226" s="9" t="str">
        <f>IFERROR(MID(VLOOKUP($B226,Seqs!$A:$B,2,0),G226,1),"")</f>
        <v>N</v>
      </c>
      <c r="G226" s="40">
        <v>129</v>
      </c>
      <c r="H226" s="9" t="str">
        <f>IFERROR(MID(VLOOKUP($B226,Seqs!$A:$B,2,0),I226,1),"")</f>
        <v/>
      </c>
      <c r="I226" s="129" t="s">
        <v>23</v>
      </c>
      <c r="J226" s="9" t="str">
        <f>IFERROR(MID(VLOOKUP($B226,Seqs!$A:$B,2,0),K226,1),"")</f>
        <v/>
      </c>
      <c r="K226" s="129" t="s">
        <v>23</v>
      </c>
      <c r="L226" s="9" t="str">
        <f>IFERROR(MID(VLOOKUP($B226,Seqs!$A:$B,2,0),M226,1),"")</f>
        <v>G</v>
      </c>
      <c r="M226" s="40">
        <v>135</v>
      </c>
      <c r="N226" s="9" t="str">
        <f>IFERROR(MID(VLOOKUP($B226,Seqs!$A:$B,2,0),O226,1),"")</f>
        <v>A</v>
      </c>
      <c r="O226" s="40">
        <v>164</v>
      </c>
      <c r="P226" s="9" t="str">
        <f>IFERROR(MID(VLOOKUP($B226,Seqs!$A:$B,2,0),Q226,1),"")</f>
        <v>D</v>
      </c>
      <c r="Q226" s="40">
        <v>166</v>
      </c>
      <c r="R226" s="9" t="str">
        <f>IFERROR(MID(VLOOKUP($B226,Seqs!$A:$B,2,0),S226,1),"")</f>
        <v>F</v>
      </c>
      <c r="S226" s="40">
        <v>169</v>
      </c>
      <c r="T226" s="9" t="str">
        <f>IFERROR(MID(VLOOKUP($B226,Seqs!$A:$B,2,0),U226,1),"")</f>
        <v>G</v>
      </c>
      <c r="U226" s="11">
        <v>170</v>
      </c>
      <c r="V226" s="9" t="str">
        <f>IFERROR(MID(VLOOKUP($B226,Seqs!$A:$B,2,0),W226,1),"")</f>
        <v>A</v>
      </c>
      <c r="W226" s="40">
        <v>204</v>
      </c>
      <c r="X226" s="9" t="str">
        <f>IFERROR(MID(VLOOKUP($B226,Seqs!$A:$B,2,0),Y226,1),"")</f>
        <v/>
      </c>
      <c r="Y226" s="40" t="s">
        <v>23</v>
      </c>
      <c r="Z226" s="9" t="str">
        <f>IFERROR(MID(VLOOKUP($B226,Seqs!$A:$B,2,0),AA226,1),"")</f>
        <v/>
      </c>
      <c r="AA226" s="40" t="s">
        <v>23</v>
      </c>
      <c r="AB226" s="9" t="str">
        <f>IFERROR(MID(VLOOKUP($B226,Seqs!$A:$B,2,0),AC226,1),"")</f>
        <v>K</v>
      </c>
      <c r="AC226" s="40">
        <v>216</v>
      </c>
      <c r="AD226" s="9" t="str">
        <f>IFERROR(MID(VLOOKUP($B226,Seqs!$A:$B,2,0),AE226,1),"")</f>
        <v>F</v>
      </c>
      <c r="AE226" s="40">
        <v>240</v>
      </c>
      <c r="AF226" s="9" t="str">
        <f>IFERROR(MID(VLOOKUP($B226,Seqs!$A:$B,2,0),AG226,1),"")</f>
        <v>C</v>
      </c>
      <c r="AG226" s="40">
        <v>255</v>
      </c>
      <c r="AH226" s="9" t="str">
        <f>IFERROR(MID(VLOOKUP($B226,Seqs!$A:$B,2,0),AI226,1),"")</f>
        <v>L</v>
      </c>
      <c r="AI226" s="40">
        <v>257</v>
      </c>
      <c r="AJ226" s="9" t="str">
        <f>IFERROR(MID(VLOOKUP($B226,Seqs!$A:$B,2,0),AK226,1),"")</f>
        <v>T</v>
      </c>
      <c r="AK226" s="40">
        <v>263</v>
      </c>
      <c r="AL226" s="9" t="str">
        <f>IFERROR(MID(VLOOKUP($B226,Seqs!$A:$B,2,0),AM226,1),"")</f>
        <v>K</v>
      </c>
      <c r="AM226" s="40">
        <v>303</v>
      </c>
      <c r="AN226" s="9" t="str">
        <f>IFERROR(MID(VLOOKUP($B226,Seqs!$A:$B,2,0),AO226,1),"")</f>
        <v>N</v>
      </c>
      <c r="AO226" s="40">
        <v>312</v>
      </c>
      <c r="AP226" s="9" t="str">
        <f>IFERROR(MID(VLOOKUP($B226,Seqs!$A:$B,2,0),AQ226,1),"")</f>
        <v>Y</v>
      </c>
      <c r="AQ226" s="40">
        <v>350</v>
      </c>
      <c r="AR226" s="9" t="str">
        <f>IFERROR(MID(VLOOKUP($B226,Seqs!$A:$B,2,0),AS226,1),"")</f>
        <v>R</v>
      </c>
      <c r="AS226" s="40">
        <v>357</v>
      </c>
      <c r="AT226" s="9" t="str">
        <f>IFERROR(MID(VLOOKUP($B226,Seqs!$A:$B,2,0),AU226,1),"")</f>
        <v>V</v>
      </c>
      <c r="AU226" s="40">
        <v>389</v>
      </c>
      <c r="AV226" s="9" t="str">
        <f>IFERROR(MID(VLOOKUP($B226,Seqs!$A:$B,2,0),AW226,1),"")</f>
        <v>S</v>
      </c>
      <c r="AW226" s="40">
        <v>390</v>
      </c>
      <c r="AX226" s="9" t="str">
        <f>IFERROR(MID(VLOOKUP($B226,Seqs!$A:$B,2,0),AY226,1),"")</f>
        <v>C</v>
      </c>
      <c r="AY226" s="40">
        <v>400</v>
      </c>
      <c r="AZ226" s="110" t="str">
        <f>VLOOKUP(B226,Classification!A:D,2,0)</f>
        <v>A</v>
      </c>
      <c r="BA226" s="98" t="str">
        <f>VLOOKUP(B226,Classification!A:D,4,0)</f>
        <v>Endothelin</v>
      </c>
      <c r="BB226" s="36" t="b">
        <f t="shared" si="1732"/>
        <v>1</v>
      </c>
      <c r="BC226" s="109">
        <f t="shared" si="1733"/>
        <v>256</v>
      </c>
      <c r="BD226" s="40" t="s">
        <v>1423</v>
      </c>
      <c r="BE226" s="9" t="s">
        <v>1465</v>
      </c>
      <c r="BF226" s="119">
        <v>3</v>
      </c>
      <c r="BG226" s="51" t="s">
        <v>1</v>
      </c>
      <c r="BH226" s="51" t="s">
        <v>1</v>
      </c>
      <c r="BI226" s="40"/>
      <c r="BJ226" s="111" t="s">
        <v>1281</v>
      </c>
      <c r="BK226" s="112" t="s">
        <v>1281</v>
      </c>
      <c r="BL226" s="112" t="s">
        <v>1281</v>
      </c>
      <c r="BM226" s="112" t="s">
        <v>1281</v>
      </c>
      <c r="BN226" s="112" t="s">
        <v>1281</v>
      </c>
      <c r="BO226" s="112" t="s">
        <v>1281</v>
      </c>
      <c r="BP226" s="112" t="s">
        <v>1281</v>
      </c>
      <c r="BQ226" s="112" t="s">
        <v>1281</v>
      </c>
      <c r="BR226" s="112" t="s">
        <v>1281</v>
      </c>
      <c r="BS226" s="112" t="s">
        <v>1281</v>
      </c>
      <c r="BT226" s="112" t="s">
        <v>1281</v>
      </c>
      <c r="BU226" s="112" t="s">
        <v>1281</v>
      </c>
      <c r="BV226" s="111">
        <f t="shared" si="1734"/>
        <v>97</v>
      </c>
      <c r="BW226" s="113" t="str">
        <f t="shared" si="1735"/>
        <v>-</v>
      </c>
      <c r="BX226" s="114">
        <f t="shared" si="1736"/>
        <v>135</v>
      </c>
      <c r="BY226" s="113">
        <f t="shared" si="1737"/>
        <v>166</v>
      </c>
      <c r="BZ226" s="114">
        <f t="shared" si="1738"/>
        <v>170</v>
      </c>
      <c r="CA226" s="113" t="str">
        <f t="shared" si="1739"/>
        <v>-</v>
      </c>
      <c r="CB226" s="114">
        <f t="shared" si="1740"/>
        <v>216</v>
      </c>
      <c r="CC226" s="113">
        <f t="shared" si="1741"/>
        <v>255</v>
      </c>
      <c r="CD226" s="114">
        <f t="shared" si="1742"/>
        <v>263</v>
      </c>
      <c r="CE226" s="113">
        <f t="shared" si="1743"/>
        <v>312</v>
      </c>
      <c r="CF226" s="114">
        <f t="shared" si="1744"/>
        <v>357</v>
      </c>
      <c r="CG226" s="113">
        <f t="shared" si="1745"/>
        <v>390</v>
      </c>
      <c r="CH226" s="111">
        <f t="shared" si="1746"/>
        <v>129</v>
      </c>
      <c r="CI226" s="113" t="str">
        <f t="shared" si="1747"/>
        <v>-</v>
      </c>
      <c r="CJ226" s="114">
        <f t="shared" si="1748"/>
        <v>164</v>
      </c>
      <c r="CK226" s="114">
        <f t="shared" si="1749"/>
        <v>169</v>
      </c>
      <c r="CL226" s="114">
        <f t="shared" si="1750"/>
        <v>204</v>
      </c>
      <c r="CM226" s="114" t="str">
        <f t="shared" si="1751"/>
        <v>-</v>
      </c>
      <c r="CN226" s="114">
        <f t="shared" si="1752"/>
        <v>240</v>
      </c>
      <c r="CO226" s="114">
        <f t="shared" si="1753"/>
        <v>257</v>
      </c>
      <c r="CP226" s="114">
        <f t="shared" si="1754"/>
        <v>303</v>
      </c>
      <c r="CQ226" s="114">
        <f t="shared" si="1755"/>
        <v>350</v>
      </c>
      <c r="CR226" s="114">
        <f t="shared" si="1756"/>
        <v>389</v>
      </c>
      <c r="CS226" s="114">
        <f t="shared" si="1757"/>
        <v>400</v>
      </c>
      <c r="CT226" s="109" t="e">
        <f t="shared" si="1758"/>
        <v>#VALUE!</v>
      </c>
    </row>
    <row r="227" spans="1:1029" x14ac:dyDescent="0.2">
      <c r="A227" s="3" t="str">
        <f t="shared" si="1007"/>
        <v>ffar1_human__wt</v>
      </c>
      <c r="B227" s="3" t="s">
        <v>1166</v>
      </c>
      <c r="C227" s="3" t="s">
        <v>100</v>
      </c>
      <c r="D227" s="3" t="str">
        <f>IFERROR(MID(VLOOKUP($B227,Seqs!$A:$B,2,0),E227,1),"")</f>
        <v>P</v>
      </c>
      <c r="E227" s="3">
        <v>4</v>
      </c>
      <c r="F227" s="3" t="str">
        <f>IFERROR(MID(VLOOKUP($B227,Seqs!$A:$B,2,0),G227,1),"")</f>
        <v>R</v>
      </c>
      <c r="G227" s="3">
        <v>37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T</v>
      </c>
      <c r="M227" s="3">
        <v>39</v>
      </c>
      <c r="N227" s="3" t="str">
        <f>IFERROR(MID(VLOOKUP($B227,Seqs!$A:$B,2,0),O227,1),"")</f>
        <v>S</v>
      </c>
      <c r="O227" s="3">
        <v>69</v>
      </c>
      <c r="P227" s="3" t="str">
        <f>IFERROR(MID(VLOOKUP($B227,Seqs!$A:$B,2,0),Q227,1),"")</f>
        <v>A</v>
      </c>
      <c r="Q227" s="3">
        <v>71</v>
      </c>
      <c r="R227" s="3" t="str">
        <f>IFERROR(MID(VLOOKUP($B227,Seqs!$A:$B,2,0),S227,1),"")</f>
        <v>L</v>
      </c>
      <c r="S227" s="3">
        <v>74</v>
      </c>
      <c r="T227" s="3" t="str">
        <f>IFERROR(MID(VLOOKUP($B227,Seqs!$A:$B,2,0),U227,1),"")</f>
        <v>P</v>
      </c>
      <c r="U227" s="3">
        <v>75</v>
      </c>
      <c r="V227" s="3" t="str">
        <f>IFERROR(MID(VLOOKUP($B227,Seqs!$A:$B,2,0),W227,1),"")</f>
        <v>F</v>
      </c>
      <c r="W227" s="3">
        <v>110</v>
      </c>
      <c r="X227" s="3" t="str">
        <f>IFERROR(MID(VLOOKUP($B227,Seqs!$A:$B,2,0),Y227,1),"")</f>
        <v>P</v>
      </c>
      <c r="Y227" s="3">
        <v>111</v>
      </c>
      <c r="Z227" s="3" t="str">
        <f>IFERROR(MID(VLOOKUP($B227,Seqs!$A:$B,2,0),AA227,1),"")</f>
        <v>R</v>
      </c>
      <c r="AA227" s="3">
        <v>118</v>
      </c>
      <c r="AB227" s="3" t="str">
        <f>IFERROR(MID(VLOOKUP($B227,Seqs!$A:$B,2,0),AC227,1),"")</f>
        <v>R</v>
      </c>
      <c r="AC227" s="9">
        <v>119</v>
      </c>
      <c r="AD227" s="3" t="str">
        <f>IFERROR(MID(VLOOKUP($B227,Seqs!$A:$B,2,0),AE227,1),"")</f>
        <v>A</v>
      </c>
      <c r="AE227" s="3">
        <v>146</v>
      </c>
      <c r="AF227" s="3" t="str">
        <f>IFERROR(MID(VLOOKUP($B227,Seqs!$A:$B,2,0),AG227,1),"")</f>
        <v>C</v>
      </c>
      <c r="AG227" s="3">
        <v>170</v>
      </c>
      <c r="AH227" s="3" t="str">
        <f>IFERROR(MID(VLOOKUP($B227,Seqs!$A:$B,2,0),AI227,1),"")</f>
        <v>E</v>
      </c>
      <c r="AI227" s="3">
        <v>172</v>
      </c>
      <c r="AJ227" s="3" t="str">
        <f>IFERROR(MID(VLOOKUP($B227,Seqs!$A:$B,2,0),AK227,1),"")</f>
        <v>D</v>
      </c>
      <c r="AK227" s="3">
        <v>175</v>
      </c>
      <c r="AL227" s="3" t="str">
        <f>IFERROR(MID(VLOOKUP($B227,Seqs!$A:$B,2,0),AM227,1),"")</f>
        <v>R</v>
      </c>
      <c r="AM227" s="3">
        <v>211</v>
      </c>
      <c r="AN227" s="3" t="str">
        <f>IFERROR(MID(VLOOKUP($B227,Seqs!$A:$B,2,0),AO227,1),"")</f>
        <v>R</v>
      </c>
      <c r="AO227" s="3">
        <v>217</v>
      </c>
      <c r="AP227" s="3" t="str">
        <f>IFERROR(MID(VLOOKUP($B227,Seqs!$A:$B,2,0),AQ227,1),"")</f>
        <v>Y</v>
      </c>
      <c r="AQ227" s="3">
        <v>250</v>
      </c>
      <c r="AR227" s="3" t="str">
        <f>IFERROR(MID(VLOOKUP($B227,Seqs!$A:$B,2,0),AS227,1),"")</f>
        <v>G</v>
      </c>
      <c r="AS227" s="3">
        <v>255</v>
      </c>
      <c r="AT227" s="3" t="str">
        <f>IFERROR(MID(VLOOKUP($B227,Seqs!$A:$B,2,0),AU227,1),"")</f>
        <v>L</v>
      </c>
      <c r="AU227" s="3">
        <v>279</v>
      </c>
      <c r="AV227" s="3" t="str">
        <f>IFERROR(MID(VLOOKUP($B227,Seqs!$A:$B,2,0),AW227,1),"")</f>
        <v>G</v>
      </c>
      <c r="AW227" s="3">
        <v>280</v>
      </c>
      <c r="AX227" s="3" t="str">
        <f>IFERROR(MID(VLOOKUP($B227,Seqs!$A:$B,2,0),AY227,1),"")</f>
        <v>Q</v>
      </c>
      <c r="AY227" s="3">
        <v>294</v>
      </c>
      <c r="AZ227" s="77" t="str">
        <f>VLOOKUP(B227,Classification!A:D,2,0)</f>
        <v>A</v>
      </c>
      <c r="BA227" s="94" t="str">
        <f>VLOOKUP(B227,Classification!A:D,4,0)</f>
        <v>Freefattyacid</v>
      </c>
      <c r="BB227" s="27" t="b">
        <f t="shared" si="1008"/>
        <v>1</v>
      </c>
      <c r="BC227" s="23">
        <f t="shared" si="1705"/>
        <v>256</v>
      </c>
      <c r="BD227" s="34" t="s">
        <v>23</v>
      </c>
      <c r="BE227" s="3" t="s">
        <v>23</v>
      </c>
      <c r="BF227" s="118" t="s">
        <v>23</v>
      </c>
      <c r="BG227" s="49" t="s">
        <v>1366</v>
      </c>
      <c r="BH227" s="49" t="s">
        <v>1371</v>
      </c>
      <c r="BI227" s="1"/>
      <c r="BJ227" s="70" t="s">
        <v>1281</v>
      </c>
      <c r="BK227" s="57" t="s">
        <v>1281</v>
      </c>
      <c r="BL227" s="57" t="s">
        <v>1281</v>
      </c>
      <c r="BM227" s="57" t="s">
        <v>1281</v>
      </c>
      <c r="BN227" s="57" t="s">
        <v>1281</v>
      </c>
      <c r="BO227" s="57" t="s">
        <v>1281</v>
      </c>
      <c r="BP227" s="57" t="s">
        <v>1281</v>
      </c>
      <c r="BQ227" s="57" t="s">
        <v>1281</v>
      </c>
      <c r="BR227" s="57" t="s">
        <v>1281</v>
      </c>
      <c r="BS227" s="57" t="s">
        <v>1281</v>
      </c>
      <c r="BT227" s="57" t="s">
        <v>1281</v>
      </c>
      <c r="BU227" s="57" t="s">
        <v>1281</v>
      </c>
      <c r="BV227" s="70">
        <f t="shared" si="1706"/>
        <v>4</v>
      </c>
      <c r="BW227" s="71" t="str">
        <f t="shared" si="1707"/>
        <v>-</v>
      </c>
      <c r="BX227" s="72">
        <f t="shared" si="1708"/>
        <v>39</v>
      </c>
      <c r="BY227" s="71">
        <f t="shared" si="1709"/>
        <v>71</v>
      </c>
      <c r="BZ227" s="72">
        <f t="shared" si="1710"/>
        <v>75</v>
      </c>
      <c r="CA227" s="71">
        <f t="shared" si="1711"/>
        <v>111</v>
      </c>
      <c r="CB227" s="72">
        <f t="shared" si="1712"/>
        <v>119</v>
      </c>
      <c r="CC227" s="71">
        <f t="shared" si="1713"/>
        <v>170</v>
      </c>
      <c r="CD227" s="72">
        <f t="shared" si="1714"/>
        <v>175</v>
      </c>
      <c r="CE227" s="71">
        <f t="shared" si="1715"/>
        <v>217</v>
      </c>
      <c r="CF227" s="72">
        <f t="shared" si="1716"/>
        <v>255</v>
      </c>
      <c r="CG227" s="71">
        <f t="shared" si="1717"/>
        <v>280</v>
      </c>
      <c r="CH227" s="70">
        <f t="shared" si="1718"/>
        <v>37</v>
      </c>
      <c r="CI227" s="71" t="str">
        <f t="shared" si="1719"/>
        <v>-</v>
      </c>
      <c r="CJ227" s="72">
        <f t="shared" si="1720"/>
        <v>69</v>
      </c>
      <c r="CK227" s="72">
        <f t="shared" si="1721"/>
        <v>74</v>
      </c>
      <c r="CL227" s="72">
        <f t="shared" si="1722"/>
        <v>110</v>
      </c>
      <c r="CM227" s="72">
        <f t="shared" si="1723"/>
        <v>118</v>
      </c>
      <c r="CN227" s="72">
        <f t="shared" si="1724"/>
        <v>146</v>
      </c>
      <c r="CO227" s="72">
        <f t="shared" si="1725"/>
        <v>172</v>
      </c>
      <c r="CP227" s="72">
        <f t="shared" si="1726"/>
        <v>211</v>
      </c>
      <c r="CQ227" s="72">
        <f t="shared" si="1727"/>
        <v>250</v>
      </c>
      <c r="CR227" s="72">
        <f t="shared" si="1728"/>
        <v>279</v>
      </c>
      <c r="CS227" s="72">
        <f t="shared" si="1729"/>
        <v>294</v>
      </c>
      <c r="CT227" s="23" t="e">
        <f t="shared" si="1730"/>
        <v>#VALUE!</v>
      </c>
    </row>
    <row r="228" spans="1:1029" x14ac:dyDescent="0.2">
      <c r="A228" s="3" t="str">
        <f t="shared" si="1007"/>
        <v>ffar1_human_4PHU</v>
      </c>
      <c r="B228" s="3" t="s">
        <v>1166</v>
      </c>
      <c r="C228" s="3" t="s">
        <v>52</v>
      </c>
      <c r="D228" s="3" t="str">
        <f>IFERROR(MID(VLOOKUP($B228,Seqs!$A:$B,2,0),E228,1),"")</f>
        <v>P</v>
      </c>
      <c r="E228" s="3">
        <v>4</v>
      </c>
      <c r="F228" s="3" t="str">
        <f>IFERROR(MID(VLOOKUP($B228,Seqs!$A:$B,2,0),G228,1),"")</f>
        <v>R</v>
      </c>
      <c r="G228" s="3">
        <v>37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T</v>
      </c>
      <c r="M228" s="3">
        <v>39</v>
      </c>
      <c r="N228" s="3" t="str">
        <f>IFERROR(MID(VLOOKUP($B228,Seqs!$A:$B,2,0),O228,1),"")</f>
        <v>S</v>
      </c>
      <c r="O228" s="3">
        <v>69</v>
      </c>
      <c r="P228" s="3" t="str">
        <f>IFERROR(MID(VLOOKUP($B228,Seqs!$A:$B,2,0),Q228,1),"")</f>
        <v>A</v>
      </c>
      <c r="Q228" s="3">
        <v>71</v>
      </c>
      <c r="R228" s="3" t="str">
        <f>IFERROR(MID(VLOOKUP($B228,Seqs!$A:$B,2,0),S228,1),"")</f>
        <v>L</v>
      </c>
      <c r="S228" s="3">
        <v>74</v>
      </c>
      <c r="T228" s="3" t="str">
        <f>IFERROR(MID(VLOOKUP($B228,Seqs!$A:$B,2,0),U228,1),"")</f>
        <v>P</v>
      </c>
      <c r="U228" s="3">
        <v>75</v>
      </c>
      <c r="V228" s="3" t="str">
        <f>IFERROR(MID(VLOOKUP($B228,Seqs!$A:$B,2,0),W228,1),"")</f>
        <v>F</v>
      </c>
      <c r="W228" s="3">
        <v>110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C</v>
      </c>
      <c r="AC228" s="9">
        <v>121</v>
      </c>
      <c r="AD228" s="3" t="str">
        <f>IFERROR(MID(VLOOKUP($B228,Seqs!$A:$B,2,0),AE228,1),"")</f>
        <v>A</v>
      </c>
      <c r="AE228" s="3">
        <v>146</v>
      </c>
      <c r="AF228" s="3" t="str">
        <f>IFERROR(MID(VLOOKUP($B228,Seqs!$A:$B,2,0),AG228,1),"")</f>
        <v>C</v>
      </c>
      <c r="AG228" s="3">
        <v>170</v>
      </c>
      <c r="AH228" s="3" t="str">
        <f>IFERROR(MID(VLOOKUP($B228,Seqs!$A:$B,2,0),AI228,1),"")</f>
        <v>E</v>
      </c>
      <c r="AI228" s="3">
        <v>172</v>
      </c>
      <c r="AJ228" s="3" t="str">
        <f>IFERROR(MID(VLOOKUP($B228,Seqs!$A:$B,2,0),AK228,1),"")</f>
        <v>D</v>
      </c>
      <c r="AK228" s="3">
        <v>175</v>
      </c>
      <c r="AL228" s="3" t="str">
        <f>IFERROR(MID(VLOOKUP($B228,Seqs!$A:$B,2,0),AM228,1),"")</f>
        <v>R</v>
      </c>
      <c r="AM228" s="3">
        <v>211</v>
      </c>
      <c r="AN228" s="3" t="str">
        <f>IFERROR(MID(VLOOKUP($B228,Seqs!$A:$B,2,0),AO228,1),"")</f>
        <v/>
      </c>
      <c r="AO228" s="3">
        <v>2214</v>
      </c>
      <c r="AP228" s="3" t="str">
        <f>IFERROR(MID(VLOOKUP($B228,Seqs!$A:$B,2,0),AQ228,1),"")</f>
        <v/>
      </c>
      <c r="AQ228" s="3">
        <v>2250</v>
      </c>
      <c r="AR228" s="3" t="str">
        <f>IFERROR(MID(VLOOKUP($B228,Seqs!$A:$B,2,0),AS228,1),"")</f>
        <v/>
      </c>
      <c r="AS228" s="3">
        <v>2255</v>
      </c>
      <c r="AT228" s="3" t="str">
        <f>IFERROR(MID(VLOOKUP($B228,Seqs!$A:$B,2,0),AU228,1),"")</f>
        <v/>
      </c>
      <c r="AU228" s="3">
        <v>2276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Freefattyacid</v>
      </c>
      <c r="BB228" s="27" t="b">
        <f t="shared" si="1008"/>
        <v>1</v>
      </c>
      <c r="BC228" s="23">
        <f t="shared" si="1705"/>
        <v>233</v>
      </c>
      <c r="BD228" s="16" t="s">
        <v>23</v>
      </c>
      <c r="BE228" s="3" t="s">
        <v>1422</v>
      </c>
      <c r="BF228" s="118">
        <v>2.33</v>
      </c>
      <c r="BG228" s="49" t="s">
        <v>1371</v>
      </c>
      <c r="BH228" s="49" t="s">
        <v>1371</v>
      </c>
      <c r="BI228" s="1"/>
      <c r="BJ228" s="70" t="s">
        <v>1281</v>
      </c>
      <c r="BK228" s="57" t="s">
        <v>1281</v>
      </c>
      <c r="BL228" s="57" t="s">
        <v>1281</v>
      </c>
      <c r="BM228" s="57" t="s">
        <v>1281</v>
      </c>
      <c r="BN228" s="57" t="s">
        <v>1281</v>
      </c>
      <c r="BO228" s="57" t="s">
        <v>1281</v>
      </c>
      <c r="BP228" s="57" t="s">
        <v>1281</v>
      </c>
      <c r="BQ228" s="57" t="s">
        <v>1281</v>
      </c>
      <c r="BR228" s="57" t="s">
        <v>1281</v>
      </c>
      <c r="BS228" s="57" t="s">
        <v>1281</v>
      </c>
      <c r="BT228" s="57" t="s">
        <v>1281</v>
      </c>
      <c r="BU228" s="57" t="s">
        <v>1281</v>
      </c>
      <c r="BV228" s="70">
        <f t="shared" si="1706"/>
        <v>4</v>
      </c>
      <c r="BW228" s="71" t="str">
        <f t="shared" si="1707"/>
        <v>-</v>
      </c>
      <c r="BX228" s="72">
        <f t="shared" si="1708"/>
        <v>39</v>
      </c>
      <c r="BY228" s="71">
        <f t="shared" si="1709"/>
        <v>71</v>
      </c>
      <c r="BZ228" s="72">
        <f t="shared" si="1710"/>
        <v>75</v>
      </c>
      <c r="CA228" s="71" t="str">
        <f t="shared" si="1711"/>
        <v>-</v>
      </c>
      <c r="CB228" s="72">
        <f t="shared" si="1712"/>
        <v>121</v>
      </c>
      <c r="CC228" s="71">
        <f t="shared" si="1713"/>
        <v>170</v>
      </c>
      <c r="CD228" s="72">
        <f t="shared" si="1714"/>
        <v>175</v>
      </c>
      <c r="CE228" s="71">
        <f t="shared" si="1715"/>
        <v>2214</v>
      </c>
      <c r="CF228" s="72">
        <f t="shared" si="1716"/>
        <v>2255</v>
      </c>
      <c r="CG228" s="71" t="str">
        <f t="shared" si="1717"/>
        <v>-</v>
      </c>
      <c r="CH228" s="70">
        <f t="shared" si="1718"/>
        <v>37</v>
      </c>
      <c r="CI228" s="71" t="str">
        <f t="shared" si="1719"/>
        <v>-</v>
      </c>
      <c r="CJ228" s="72">
        <f t="shared" si="1720"/>
        <v>69</v>
      </c>
      <c r="CK228" s="72">
        <f t="shared" si="1721"/>
        <v>74</v>
      </c>
      <c r="CL228" s="72">
        <f t="shared" si="1722"/>
        <v>110</v>
      </c>
      <c r="CM228" s="72" t="str">
        <f t="shared" si="1723"/>
        <v>-</v>
      </c>
      <c r="CN228" s="72">
        <f t="shared" si="1724"/>
        <v>146</v>
      </c>
      <c r="CO228" s="72">
        <f t="shared" si="1725"/>
        <v>172</v>
      </c>
      <c r="CP228" s="72">
        <f t="shared" si="1726"/>
        <v>211</v>
      </c>
      <c r="CQ228" s="72">
        <f t="shared" si="1727"/>
        <v>2250</v>
      </c>
      <c r="CR228" s="72">
        <f t="shared" si="1728"/>
        <v>2276</v>
      </c>
      <c r="CS228" s="72" t="str">
        <f t="shared" si="1729"/>
        <v>-</v>
      </c>
      <c r="CT228" s="23" t="e">
        <f t="shared" si="1730"/>
        <v>#VALUE!</v>
      </c>
    </row>
    <row r="229" spans="1:1029" x14ac:dyDescent="0.2">
      <c r="A229" s="3" t="str">
        <f>CONCATENATE(B229,"_",C229)</f>
        <v>ffar1_human_5KW2</v>
      </c>
      <c r="B229" s="3" t="s">
        <v>1166</v>
      </c>
      <c r="C229" s="3" t="s">
        <v>1485</v>
      </c>
      <c r="D229" s="3" t="str">
        <f>IFERROR(MID(VLOOKUP($B229,Seqs!$A:$B,2,0),E229,1),"")</f>
        <v>P</v>
      </c>
      <c r="E229" s="3">
        <v>4</v>
      </c>
      <c r="F229" s="3" t="str">
        <f>IFERROR(MID(VLOOKUP($B229,Seqs!$A:$B,2,0),G229,1),"")</f>
        <v>A</v>
      </c>
      <c r="G229" s="3">
        <v>32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T</v>
      </c>
      <c r="M229" s="3">
        <v>39</v>
      </c>
      <c r="N229" s="3" t="str">
        <f>IFERROR(MID(VLOOKUP($B229,Seqs!$A:$B,2,0),O229,1),"")</f>
        <v>S</v>
      </c>
      <c r="O229" s="3">
        <v>69</v>
      </c>
      <c r="P229" s="3" t="str">
        <f>IFERROR(MID(VLOOKUP($B229,Seqs!$A:$B,2,0),Q229,1),"")</f>
        <v>A</v>
      </c>
      <c r="Q229" s="3">
        <v>71</v>
      </c>
      <c r="R229" s="3" t="str">
        <f>IFERROR(MID(VLOOKUP($B229,Seqs!$A:$B,2,0),S229,1),"")</f>
        <v>L</v>
      </c>
      <c r="S229" s="3">
        <v>74</v>
      </c>
      <c r="T229" s="3" t="str">
        <f>IFERROR(MID(VLOOKUP($B229,Seqs!$A:$B,2,0),U229,1),"")</f>
        <v>P</v>
      </c>
      <c r="U229" s="3">
        <v>75</v>
      </c>
      <c r="V229" s="3" t="str">
        <f>IFERROR(MID(VLOOKUP($B229,Seqs!$A:$B,2,0),W229,1),"")</f>
        <v>F</v>
      </c>
      <c r="W229" s="3">
        <v>110</v>
      </c>
      <c r="X229" s="3" t="str">
        <f>IFERROR(MID(VLOOKUP($B229,Seqs!$A:$B,2,0),Y229,1),"")</f>
        <v>P</v>
      </c>
      <c r="Y229" s="3">
        <v>111</v>
      </c>
      <c r="Z229" s="3" t="str">
        <f>IFERROR(MID(VLOOKUP($B229,Seqs!$A:$B,2,0),AA229,1),"")</f>
        <v>R</v>
      </c>
      <c r="AA229" s="3">
        <v>118</v>
      </c>
      <c r="AB229" s="3" t="str">
        <f>IFERROR(MID(VLOOKUP($B229,Seqs!$A:$B,2,0),AC229,1),"")</f>
        <v>R</v>
      </c>
      <c r="AC229" s="3">
        <v>119</v>
      </c>
      <c r="AD229" s="3" t="str">
        <f>IFERROR(MID(VLOOKUP($B229,Seqs!$A:$B,2,0),AE229,1),"")</f>
        <v>E</v>
      </c>
      <c r="AE229" s="3">
        <v>145</v>
      </c>
      <c r="AF229" s="3" t="str">
        <f>IFERROR(MID(VLOOKUP($B229,Seqs!$A:$B,2,0),AG229,1),"")</f>
        <v>C</v>
      </c>
      <c r="AG229" s="3">
        <v>170</v>
      </c>
      <c r="AH229" s="3" t="str">
        <f>IFERROR(MID(VLOOKUP($B229,Seqs!$A:$B,2,0),AI229,1),"")</f>
        <v>E</v>
      </c>
      <c r="AI229" s="3">
        <v>172</v>
      </c>
      <c r="AJ229" s="3" t="str">
        <f>IFERROR(MID(VLOOKUP($B229,Seqs!$A:$B,2,0),AK229,1),"")</f>
        <v>G</v>
      </c>
      <c r="AK229" s="3">
        <v>180</v>
      </c>
      <c r="AL229" s="3" t="str">
        <f>IFERROR(MID(VLOOKUP($B229,Seqs!$A:$B,2,0),AM229,1),"")</f>
        <v>R</v>
      </c>
      <c r="AM229" s="3">
        <v>211</v>
      </c>
      <c r="AN229" s="3" t="str">
        <f>IFERROR(MID(VLOOKUP($B229,Seqs!$A:$B,2,0),AO229,1),"")</f>
        <v/>
      </c>
      <c r="AO229" s="3">
        <v>2215</v>
      </c>
      <c r="AP229" s="3" t="str">
        <f>IFERROR(MID(VLOOKUP($B229,Seqs!$A:$B,2,0),AQ229,1),"")</f>
        <v/>
      </c>
      <c r="AQ229" s="3">
        <v>2249</v>
      </c>
      <c r="AR229" s="3" t="str">
        <f>IFERROR(MID(VLOOKUP($B229,Seqs!$A:$B,2,0),AS229,1),"")</f>
        <v/>
      </c>
      <c r="AS229" s="3">
        <v>2254</v>
      </c>
      <c r="AT229" s="3" t="str">
        <f>IFERROR(MID(VLOOKUP($B229,Seqs!$A:$B,2,0),AU229,1),"")</f>
        <v/>
      </c>
      <c r="AU229" s="3">
        <v>2275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Freefattyacid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229</v>
      </c>
      <c r="BD229" s="16" t="s">
        <v>23</v>
      </c>
      <c r="BE229" s="3" t="s">
        <v>1422</v>
      </c>
      <c r="BF229" s="118">
        <v>2.76</v>
      </c>
      <c r="BG229" s="49" t="s">
        <v>1</v>
      </c>
      <c r="BH229" s="49" t="s">
        <v>1</v>
      </c>
      <c r="BI229" s="1"/>
      <c r="BJ229" s="70" t="s">
        <v>1281</v>
      </c>
      <c r="BK229" s="57" t="s">
        <v>1281</v>
      </c>
      <c r="BL229" s="57" t="s">
        <v>1281</v>
      </c>
      <c r="BM229" s="57" t="s">
        <v>1281</v>
      </c>
      <c r="BN229" s="57" t="s">
        <v>1281</v>
      </c>
      <c r="BO229" s="57" t="s">
        <v>1281</v>
      </c>
      <c r="BP229" s="57" t="s">
        <v>1281</v>
      </c>
      <c r="BQ229" s="57" t="s">
        <v>1281</v>
      </c>
      <c r="BR229" s="57" t="s">
        <v>1281</v>
      </c>
      <c r="BS229" s="57" t="s">
        <v>1281</v>
      </c>
      <c r="BT229" s="57" t="s">
        <v>1281</v>
      </c>
      <c r="BU229" s="57" t="s">
        <v>1281</v>
      </c>
      <c r="BV229" s="70">
        <f>E229</f>
        <v>4</v>
      </c>
      <c r="BW229" s="71" t="str">
        <f>I229</f>
        <v>-</v>
      </c>
      <c r="BX229" s="72">
        <f>M229</f>
        <v>39</v>
      </c>
      <c r="BY229" s="71">
        <f>Q229</f>
        <v>71</v>
      </c>
      <c r="BZ229" s="72">
        <f>U229</f>
        <v>75</v>
      </c>
      <c r="CA229" s="71">
        <f>Y229</f>
        <v>111</v>
      </c>
      <c r="CB229" s="72">
        <f>AC229</f>
        <v>119</v>
      </c>
      <c r="CC229" s="71">
        <f>AG229</f>
        <v>170</v>
      </c>
      <c r="CD229" s="72">
        <f>AK229</f>
        <v>180</v>
      </c>
      <c r="CE229" s="71">
        <f>AO229</f>
        <v>2215</v>
      </c>
      <c r="CF229" s="72">
        <f>AS229</f>
        <v>2254</v>
      </c>
      <c r="CG229" s="71" t="str">
        <f>AW229</f>
        <v>-</v>
      </c>
      <c r="CH229" s="70">
        <f>G229</f>
        <v>32</v>
      </c>
      <c r="CI229" s="71" t="str">
        <f>K229</f>
        <v>-</v>
      </c>
      <c r="CJ229" s="72">
        <f>O229</f>
        <v>69</v>
      </c>
      <c r="CK229" s="72">
        <f>S229</f>
        <v>74</v>
      </c>
      <c r="CL229" s="72">
        <f>W229</f>
        <v>110</v>
      </c>
      <c r="CM229" s="72">
        <f>AA229</f>
        <v>118</v>
      </c>
      <c r="CN229" s="72">
        <f>AE229</f>
        <v>145</v>
      </c>
      <c r="CO229" s="72">
        <f>AI229</f>
        <v>172</v>
      </c>
      <c r="CP229" s="72">
        <f>AM229</f>
        <v>211</v>
      </c>
      <c r="CQ229" s="72">
        <f>AQ229</f>
        <v>2249</v>
      </c>
      <c r="CR229" s="72">
        <f>AU229</f>
        <v>2275</v>
      </c>
      <c r="CS229" s="72" t="str">
        <f>AY229</f>
        <v>-</v>
      </c>
      <c r="CT229" s="23" t="e">
        <f>M229-K229</f>
        <v>#VALUE!</v>
      </c>
    </row>
    <row r="230" spans="1:1029" x14ac:dyDescent="0.2">
      <c r="A230" s="3" t="str">
        <f>CONCATENATE(B230,"_",C230)</f>
        <v>ffar1_human_5TZR</v>
      </c>
      <c r="B230" s="3" t="s">
        <v>1166</v>
      </c>
      <c r="C230" s="3" t="s">
        <v>1410</v>
      </c>
      <c r="D230" s="3" t="str">
        <f>IFERROR(MID(VLOOKUP($B230,Seqs!$A:$B,2,0),E230,1),"")</f>
        <v>P</v>
      </c>
      <c r="E230" s="3">
        <v>4</v>
      </c>
      <c r="F230" s="3" t="str">
        <f>IFERROR(MID(VLOOKUP($B230,Seqs!$A:$B,2,0),G230,1),"")</f>
        <v>R</v>
      </c>
      <c r="G230" s="3">
        <v>37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T</v>
      </c>
      <c r="M230" s="3">
        <v>39</v>
      </c>
      <c r="N230" s="3" t="str">
        <f>IFERROR(MID(VLOOKUP($B230,Seqs!$A:$B,2,0),O230,1),"")</f>
        <v>S</v>
      </c>
      <c r="O230" s="3">
        <v>69</v>
      </c>
      <c r="P230" s="3" t="str">
        <f>IFERROR(MID(VLOOKUP($B230,Seqs!$A:$B,2,0),Q230,1),"")</f>
        <v>A</v>
      </c>
      <c r="Q230" s="3">
        <v>71</v>
      </c>
      <c r="R230" s="3" t="str">
        <f>IFERROR(MID(VLOOKUP($B230,Seqs!$A:$B,2,0),S230,1),"")</f>
        <v>L</v>
      </c>
      <c r="S230" s="3">
        <v>74</v>
      </c>
      <c r="T230" s="3" t="str">
        <f>IFERROR(MID(VLOOKUP($B230,Seqs!$A:$B,2,0),U230,1),"")</f>
        <v>P</v>
      </c>
      <c r="U230" s="3">
        <v>75</v>
      </c>
      <c r="V230" s="3" t="str">
        <f>IFERROR(MID(VLOOKUP($B230,Seqs!$A:$B,2,0),W230,1),"")</f>
        <v>F</v>
      </c>
      <c r="W230" s="3">
        <v>110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C</v>
      </c>
      <c r="AC230" s="3">
        <v>121</v>
      </c>
      <c r="AD230" s="3" t="str">
        <f>IFERROR(MID(VLOOKUP($B230,Seqs!$A:$B,2,0),AE230,1),"")</f>
        <v>A</v>
      </c>
      <c r="AE230" s="3">
        <v>146</v>
      </c>
      <c r="AF230" s="3" t="str">
        <f>IFERROR(MID(VLOOKUP($B230,Seqs!$A:$B,2,0),AG230,1),"")</f>
        <v>C</v>
      </c>
      <c r="AG230" s="3">
        <v>170</v>
      </c>
      <c r="AH230" s="3" t="str">
        <f>IFERROR(MID(VLOOKUP($B230,Seqs!$A:$B,2,0),AI230,1),"")</f>
        <v>E</v>
      </c>
      <c r="AI230" s="3">
        <v>172</v>
      </c>
      <c r="AJ230" s="3" t="str">
        <f>IFERROR(MID(VLOOKUP($B230,Seqs!$A:$B,2,0),AK230,1),"")</f>
        <v>D</v>
      </c>
      <c r="AK230" s="3">
        <v>175</v>
      </c>
      <c r="AL230" s="3" t="str">
        <f>IFERROR(MID(VLOOKUP($B230,Seqs!$A:$B,2,0),AM230,1),"")</f>
        <v>R</v>
      </c>
      <c r="AM230" s="3">
        <v>211</v>
      </c>
      <c r="AN230" s="3" t="str">
        <f>IFERROR(MID(VLOOKUP($B230,Seqs!$A:$B,2,0),AO230,1),"")</f>
        <v/>
      </c>
      <c r="AO230" s="3">
        <v>2214</v>
      </c>
      <c r="AP230" s="3" t="str">
        <f>IFERROR(MID(VLOOKUP($B230,Seqs!$A:$B,2,0),AQ230,1),"")</f>
        <v/>
      </c>
      <c r="AQ230" s="3">
        <v>2250</v>
      </c>
      <c r="AR230" s="3" t="str">
        <f>IFERROR(MID(VLOOKUP($B230,Seqs!$A:$B,2,0),AS230,1),"")</f>
        <v/>
      </c>
      <c r="AS230" s="3">
        <v>2255</v>
      </c>
      <c r="AT230" s="3" t="str">
        <f>IFERROR(MID(VLOOKUP($B230,Seqs!$A:$B,2,0),AU230,1),"")</f>
        <v/>
      </c>
      <c r="AU230" s="3">
        <v>2276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Freefattyacid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233</v>
      </c>
      <c r="BD230" s="16" t="s">
        <v>23</v>
      </c>
      <c r="BE230" s="3" t="s">
        <v>1422</v>
      </c>
      <c r="BF230" s="118">
        <v>2.2000000000000002</v>
      </c>
      <c r="BG230" s="49" t="s">
        <v>1</v>
      </c>
      <c r="BH230" s="49" t="s">
        <v>1</v>
      </c>
      <c r="BI230" s="1"/>
      <c r="BJ230" s="70" t="s">
        <v>1281</v>
      </c>
      <c r="BK230" s="57" t="s">
        <v>1281</v>
      </c>
      <c r="BL230" s="57" t="s">
        <v>1281</v>
      </c>
      <c r="BM230" s="57" t="s">
        <v>1281</v>
      </c>
      <c r="BN230" s="57" t="s">
        <v>1281</v>
      </c>
      <c r="BO230" s="57" t="s">
        <v>1281</v>
      </c>
      <c r="BP230" s="57" t="s">
        <v>1281</v>
      </c>
      <c r="BQ230" s="57" t="s">
        <v>1281</v>
      </c>
      <c r="BR230" s="57" t="s">
        <v>1281</v>
      </c>
      <c r="BS230" s="57" t="s">
        <v>1281</v>
      </c>
      <c r="BT230" s="57" t="s">
        <v>1281</v>
      </c>
      <c r="BU230" s="57" t="s">
        <v>1281</v>
      </c>
      <c r="BV230" s="70">
        <f>E230</f>
        <v>4</v>
      </c>
      <c r="BW230" s="71" t="str">
        <f>I230</f>
        <v>-</v>
      </c>
      <c r="BX230" s="72">
        <f>M230</f>
        <v>39</v>
      </c>
      <c r="BY230" s="71">
        <f>Q230</f>
        <v>71</v>
      </c>
      <c r="BZ230" s="72">
        <f>U230</f>
        <v>75</v>
      </c>
      <c r="CA230" s="71" t="str">
        <f>Y230</f>
        <v>-</v>
      </c>
      <c r="CB230" s="72">
        <f>AC230</f>
        <v>121</v>
      </c>
      <c r="CC230" s="71">
        <f>AG230</f>
        <v>170</v>
      </c>
      <c r="CD230" s="72">
        <f>AK230</f>
        <v>175</v>
      </c>
      <c r="CE230" s="71">
        <f>AO230</f>
        <v>2214</v>
      </c>
      <c r="CF230" s="72">
        <f>AS230</f>
        <v>2255</v>
      </c>
      <c r="CG230" s="71" t="str">
        <f>AW230</f>
        <v>-</v>
      </c>
      <c r="CH230" s="70">
        <f>G230</f>
        <v>37</v>
      </c>
      <c r="CI230" s="71" t="str">
        <f>K230</f>
        <v>-</v>
      </c>
      <c r="CJ230" s="72">
        <f>O230</f>
        <v>69</v>
      </c>
      <c r="CK230" s="72">
        <f>S230</f>
        <v>74</v>
      </c>
      <c r="CL230" s="72">
        <f>W230</f>
        <v>110</v>
      </c>
      <c r="CM230" s="72" t="str">
        <f>AA230</f>
        <v>-</v>
      </c>
      <c r="CN230" s="72">
        <f>AE230</f>
        <v>146</v>
      </c>
      <c r="CO230" s="72">
        <f>AI230</f>
        <v>172</v>
      </c>
      <c r="CP230" s="72">
        <f>AM230</f>
        <v>211</v>
      </c>
      <c r="CQ230" s="72">
        <f>AQ230</f>
        <v>2250</v>
      </c>
      <c r="CR230" s="72">
        <f>AU230</f>
        <v>2276</v>
      </c>
      <c r="CS230" s="72" t="str">
        <f>AY230</f>
        <v>-</v>
      </c>
      <c r="CT230" s="23" t="e">
        <f>M230-K230</f>
        <v>#VALUE!</v>
      </c>
    </row>
    <row r="231" spans="1:1029" x14ac:dyDescent="0.2">
      <c r="A231" s="3" t="str">
        <f>CONCATENATE(B231,"_",C231)</f>
        <v>ffar1_human_5TZY</v>
      </c>
      <c r="B231" s="3" t="s">
        <v>1166</v>
      </c>
      <c r="C231" s="3" t="s">
        <v>1411</v>
      </c>
      <c r="D231" s="3" t="str">
        <f>IFERROR(MID(VLOOKUP($B231,Seqs!$A:$B,2,0),E231,1),"")</f>
        <v>P</v>
      </c>
      <c r="E231" s="3">
        <v>4</v>
      </c>
      <c r="F231" s="3" t="str">
        <f>IFERROR(MID(VLOOKUP($B231,Seqs!$A:$B,2,0),G231,1),"")</f>
        <v>R</v>
      </c>
      <c r="G231" s="3">
        <v>37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T</v>
      </c>
      <c r="M231" s="3">
        <v>39</v>
      </c>
      <c r="N231" s="3" t="str">
        <f>IFERROR(MID(VLOOKUP($B231,Seqs!$A:$B,2,0),O231,1),"")</f>
        <v>A</v>
      </c>
      <c r="O231" s="3">
        <v>68</v>
      </c>
      <c r="P231" s="3" t="str">
        <f>IFERROR(MID(VLOOKUP($B231,Seqs!$A:$B,2,0),Q231,1),"")</f>
        <v>A</v>
      </c>
      <c r="Q231" s="3">
        <v>71</v>
      </c>
      <c r="R231" s="3" t="str">
        <f>IFERROR(MID(VLOOKUP($B231,Seqs!$A:$B,2,0),S231,1),"")</f>
        <v>L</v>
      </c>
      <c r="S231" s="3">
        <v>74</v>
      </c>
      <c r="T231" s="3" t="str">
        <f>IFERROR(MID(VLOOKUP($B231,Seqs!$A:$B,2,0),U231,1),"")</f>
        <v>P</v>
      </c>
      <c r="U231" s="3">
        <v>75</v>
      </c>
      <c r="V231" s="3" t="str">
        <f>IFERROR(MID(VLOOKUP($B231,Seqs!$A:$B,2,0),W231,1),"")</f>
        <v>F</v>
      </c>
      <c r="W231" s="3">
        <v>110</v>
      </c>
      <c r="X231" s="3" t="str">
        <f>IFERROR(MID(VLOOKUP($B231,Seqs!$A:$B,2,0),Y231,1),"")</f>
        <v>P</v>
      </c>
      <c r="Y231" s="3">
        <v>111</v>
      </c>
      <c r="Z231" s="3" t="str">
        <f>IFERROR(MID(VLOOKUP($B231,Seqs!$A:$B,2,0),AA231,1),"")</f>
        <v>R</v>
      </c>
      <c r="AA231" s="3">
        <v>118</v>
      </c>
      <c r="AB231" s="3" t="str">
        <f>IFERROR(MID(VLOOKUP($B231,Seqs!$A:$B,2,0),AC231,1),"")</f>
        <v>R</v>
      </c>
      <c r="AC231" s="3">
        <v>119</v>
      </c>
      <c r="AD231" s="3" t="str">
        <f>IFERROR(MID(VLOOKUP($B231,Seqs!$A:$B,2,0),AE231,1),"")</f>
        <v>A</v>
      </c>
      <c r="AE231" s="3">
        <v>146</v>
      </c>
      <c r="AF231" s="3" t="str">
        <f>IFERROR(MID(VLOOKUP($B231,Seqs!$A:$B,2,0),AG231,1),"")</f>
        <v>C</v>
      </c>
      <c r="AG231" s="3">
        <v>170</v>
      </c>
      <c r="AH231" s="3" t="str">
        <f>IFERROR(MID(VLOOKUP($B231,Seqs!$A:$B,2,0),AI231,1),"")</f>
        <v>E</v>
      </c>
      <c r="AI231" s="3">
        <v>172</v>
      </c>
      <c r="AJ231" s="3" t="str">
        <f>IFERROR(MID(VLOOKUP($B231,Seqs!$A:$B,2,0),AK231,1),"")</f>
        <v>D</v>
      </c>
      <c r="AK231" s="3">
        <v>175</v>
      </c>
      <c r="AL231" s="3" t="str">
        <f>IFERROR(MID(VLOOKUP($B231,Seqs!$A:$B,2,0),AM231,1),"")</f>
        <v>R</v>
      </c>
      <c r="AM231" s="3">
        <v>211</v>
      </c>
      <c r="AN231" s="3" t="str">
        <f>IFERROR(MID(VLOOKUP($B231,Seqs!$A:$B,2,0),AO231,1),"")</f>
        <v/>
      </c>
      <c r="AO231" s="3">
        <v>2215</v>
      </c>
      <c r="AP231" s="3" t="str">
        <f>IFERROR(MID(VLOOKUP($B231,Seqs!$A:$B,2,0),AQ231,1),"")</f>
        <v/>
      </c>
      <c r="AQ231" s="3">
        <v>2250</v>
      </c>
      <c r="AR231" s="3" t="str">
        <f>IFERROR(MID(VLOOKUP($B231,Seqs!$A:$B,2,0),AS231,1),"")</f>
        <v/>
      </c>
      <c r="AS231" s="3">
        <v>2254</v>
      </c>
      <c r="AT231" s="3" t="str">
        <f>IFERROR(MID(VLOOKUP($B231,Seqs!$A:$B,2,0),AU231,1),"")</f>
        <v/>
      </c>
      <c r="AU231" s="3">
        <v>2277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7" t="str">
        <f>VLOOKUP(B231,Classification!A:D,2,0)</f>
        <v>A</v>
      </c>
      <c r="BA231" s="94" t="str">
        <f>VLOOKUP(B231,Classification!A:D,4,0)</f>
        <v>Freefattyacid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242</v>
      </c>
      <c r="BD231" s="16" t="s">
        <v>1423</v>
      </c>
      <c r="BE231" s="3" t="s">
        <v>1422</v>
      </c>
      <c r="BF231" s="118">
        <v>3.22</v>
      </c>
      <c r="BG231" s="49" t="s">
        <v>1</v>
      </c>
      <c r="BH231" s="49" t="s">
        <v>1</v>
      </c>
      <c r="BI231" s="1"/>
      <c r="BJ231" s="70" t="s">
        <v>1281</v>
      </c>
      <c r="BK231" s="57" t="s">
        <v>1281</v>
      </c>
      <c r="BL231" s="57" t="s">
        <v>1281</v>
      </c>
      <c r="BM231" s="57" t="s">
        <v>1281</v>
      </c>
      <c r="BN231" s="57" t="s">
        <v>1281</v>
      </c>
      <c r="BO231" s="57" t="s">
        <v>1281</v>
      </c>
      <c r="BP231" s="57" t="s">
        <v>1281</v>
      </c>
      <c r="BQ231" s="57" t="s">
        <v>1281</v>
      </c>
      <c r="BR231" s="57" t="s">
        <v>1281</v>
      </c>
      <c r="BS231" s="57" t="s">
        <v>1281</v>
      </c>
      <c r="BT231" s="57" t="s">
        <v>1281</v>
      </c>
      <c r="BU231" s="57" t="s">
        <v>1281</v>
      </c>
      <c r="BV231" s="70">
        <f>E231</f>
        <v>4</v>
      </c>
      <c r="BW231" s="71" t="str">
        <f>I231</f>
        <v>-</v>
      </c>
      <c r="BX231" s="72">
        <f>M231</f>
        <v>39</v>
      </c>
      <c r="BY231" s="71">
        <f>Q231</f>
        <v>71</v>
      </c>
      <c r="BZ231" s="72">
        <f>U231</f>
        <v>75</v>
      </c>
      <c r="CA231" s="71">
        <f>Y231</f>
        <v>111</v>
      </c>
      <c r="CB231" s="72">
        <f>AC231</f>
        <v>119</v>
      </c>
      <c r="CC231" s="71">
        <f>AG231</f>
        <v>170</v>
      </c>
      <c r="CD231" s="72">
        <f>AK231</f>
        <v>175</v>
      </c>
      <c r="CE231" s="71">
        <f>AO231</f>
        <v>2215</v>
      </c>
      <c r="CF231" s="72">
        <f>AS231</f>
        <v>2254</v>
      </c>
      <c r="CG231" s="71" t="str">
        <f>AW231</f>
        <v>-</v>
      </c>
      <c r="CH231" s="70">
        <f>G231</f>
        <v>37</v>
      </c>
      <c r="CI231" s="71" t="str">
        <f>K231</f>
        <v>-</v>
      </c>
      <c r="CJ231" s="72">
        <f>O231</f>
        <v>68</v>
      </c>
      <c r="CK231" s="72">
        <f>S231</f>
        <v>74</v>
      </c>
      <c r="CL231" s="72">
        <f>W231</f>
        <v>110</v>
      </c>
      <c r="CM231" s="72">
        <f>AA231</f>
        <v>118</v>
      </c>
      <c r="CN231" s="72">
        <f>AE231</f>
        <v>146</v>
      </c>
      <c r="CO231" s="72">
        <f>AI231</f>
        <v>172</v>
      </c>
      <c r="CP231" s="72">
        <f>AM231</f>
        <v>211</v>
      </c>
      <c r="CQ231" s="72">
        <f>AQ231</f>
        <v>2250</v>
      </c>
      <c r="CR231" s="72">
        <f>AU231</f>
        <v>2277</v>
      </c>
      <c r="CS231" s="72" t="str">
        <f>AY231</f>
        <v>-</v>
      </c>
      <c r="CT231" s="23" t="e">
        <f>M231-K231</f>
        <v>#VALUE!</v>
      </c>
    </row>
    <row r="232" spans="1:1029" s="12" customFormat="1" x14ac:dyDescent="0.2">
      <c r="A232" s="9" t="str">
        <f t="shared" ref="A232:A233" si="1759">CONCATENATE(B232,"_",C232)</f>
        <v>fpr2_human__wt</v>
      </c>
      <c r="B232" s="9" t="s">
        <v>201</v>
      </c>
      <c r="C232" s="9" t="s">
        <v>100</v>
      </c>
      <c r="D232" s="9" t="str">
        <f>IFERROR(MID(VLOOKUP($B232,Seqs!$A:$B,2,0),E232,1),"")</f>
        <v>S</v>
      </c>
      <c r="E232" s="9">
        <v>19</v>
      </c>
      <c r="F232" s="9" t="str">
        <f>IFERROR(MID(VLOOKUP($B232,Seqs!$A:$B,2,0),G232,1),"")</f>
        <v>M</v>
      </c>
      <c r="G232" s="9">
        <v>55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T</v>
      </c>
      <c r="M232" s="9">
        <v>58</v>
      </c>
      <c r="N232" s="9" t="str">
        <f>IFERROR(MID(VLOOKUP($B232,Seqs!$A:$B,2,0),O232,1),"")</f>
        <v>G</v>
      </c>
      <c r="O232" s="9">
        <v>88</v>
      </c>
      <c r="P232" s="9" t="str">
        <f>IFERROR(MID(VLOOKUP($B232,Seqs!$A:$B,2,0),Q232,1),"")</f>
        <v>K</v>
      </c>
      <c r="Q232" s="9">
        <v>90</v>
      </c>
      <c r="R232" s="9" t="str">
        <f>IFERROR(MID(VLOOKUP($B232,Seqs!$A:$B,2,0),S232,1),"")</f>
        <v>F</v>
      </c>
      <c r="S232" s="9">
        <v>93</v>
      </c>
      <c r="T232" s="9" t="str">
        <f>IFERROR(MID(VLOOKUP($B232,Seqs!$A:$B,2,0),U232,1),"")</f>
        <v>G</v>
      </c>
      <c r="U232" s="9">
        <v>94</v>
      </c>
      <c r="V232" s="9" t="str">
        <f>IFERROR(MID(VLOOKUP($B232,Seqs!$A:$B,2,0),W232,1),"")</f>
        <v>H</v>
      </c>
      <c r="W232" s="9">
        <v>129</v>
      </c>
      <c r="X232" s="9" t="str">
        <f>IFERROR(MID(VLOOKUP($B232,Seqs!$A:$B,2,0),Y232,1),"")</f>
        <v>P</v>
      </c>
      <c r="Y232" s="9">
        <v>130</v>
      </c>
      <c r="Z232" s="9" t="str">
        <f>IFERROR(MID(VLOOKUP($B232,Seqs!$A:$B,2,0),AA232,1),"")</f>
        <v>R</v>
      </c>
      <c r="AA232" s="9">
        <v>137</v>
      </c>
      <c r="AB232" s="9" t="str">
        <f>IFERROR(MID(VLOOKUP($B232,Seqs!$A:$B,2,0),AC232,1),"")</f>
        <v>T</v>
      </c>
      <c r="AC232" s="9">
        <v>138</v>
      </c>
      <c r="AD232" s="9" t="str">
        <f>IFERROR(MID(VLOOKUP($B232,Seqs!$A:$B,2,0),AE232,1),"")</f>
        <v>L</v>
      </c>
      <c r="AE232" s="9">
        <v>164</v>
      </c>
      <c r="AF232" s="9" t="str">
        <f>IFERROR(MID(VLOOKUP($B232,Seqs!$A:$B,2,0),AG232,1),"")</f>
        <v>C</v>
      </c>
      <c r="AG232" s="9">
        <v>176</v>
      </c>
      <c r="AH232" s="9" t="str">
        <f>IFERROR(MID(VLOOKUP($B232,Seqs!$A:$B,2,0),AI232,1),"")</f>
        <v>F</v>
      </c>
      <c r="AI232" s="9">
        <v>178</v>
      </c>
      <c r="AJ232" s="9" t="str">
        <f>IFERROR(MID(VLOOKUP($B232,Seqs!$A:$B,2,0),AK232,1),"")</f>
        <v>T</v>
      </c>
      <c r="AK232" s="9">
        <v>186</v>
      </c>
      <c r="AL232" s="9" t="str">
        <f>IFERROR(MID(VLOOKUP($B232,Seqs!$A:$B,2,0),AM232,1),"")</f>
        <v>G</v>
      </c>
      <c r="AM232" s="9">
        <v>232</v>
      </c>
      <c r="AN232" s="9" t="str">
        <f>IFERROR(MID(VLOOKUP($B232,Seqs!$A:$B,2,0),AO232,1),"")</f>
        <v>S</v>
      </c>
      <c r="AO232" s="9">
        <v>237</v>
      </c>
      <c r="AP232" s="9" t="str">
        <f>IFERROR(MID(VLOOKUP($B232,Seqs!$A:$B,2,0),AQ232,1),"")</f>
        <v>W</v>
      </c>
      <c r="AQ232" s="9">
        <v>267</v>
      </c>
      <c r="AR232" s="9" t="str">
        <f>IFERROR(MID(VLOOKUP($B232,Seqs!$A:$B,2,0),AS232,1),"")</f>
        <v>Y</v>
      </c>
      <c r="AS232" s="9">
        <v>277</v>
      </c>
      <c r="AT232" s="9" t="str">
        <f>IFERROR(MID(VLOOKUP($B232,Seqs!$A:$B,2,0),AU232,1),"")</f>
        <v>V</v>
      </c>
      <c r="AU232" s="9">
        <v>305</v>
      </c>
      <c r="AV232" s="9" t="str">
        <f>IFERROR(MID(VLOOKUP($B232,Seqs!$A:$B,2,0),AW232,1),"")</f>
        <v>G</v>
      </c>
      <c r="AW232" s="9">
        <v>306</v>
      </c>
      <c r="AX232" s="9" t="str">
        <f>IFERROR(MID(VLOOKUP($B232,Seqs!$A:$B,2,0),AY232,1),"")</f>
        <v>L</v>
      </c>
      <c r="AY232" s="9">
        <v>317</v>
      </c>
      <c r="AZ232" s="110" t="str">
        <f>VLOOKUP(B232,Classification!A:D,2,0)</f>
        <v>A</v>
      </c>
      <c r="BA232" s="98" t="str">
        <f>VLOOKUP(B232,Classification!A:D,4,0)</f>
        <v>Formylpeptide</v>
      </c>
      <c r="BB232" s="36" t="b">
        <f t="shared" ref="BB232:BB233" si="1760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:BC233" si="1761">_xlfn.AGGREGATE(9,6,CH232:CS232)-_xlfn.AGGREGATE(9,6,BV232:CG232)+12</f>
        <v>266</v>
      </c>
      <c r="BD232" s="126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1281</v>
      </c>
      <c r="BK232" s="112" t="s">
        <v>1281</v>
      </c>
      <c r="BL232" s="112" t="s">
        <v>1281</v>
      </c>
      <c r="BM232" s="112" t="s">
        <v>1281</v>
      </c>
      <c r="BN232" s="112" t="s">
        <v>1281</v>
      </c>
      <c r="BO232" s="112" t="s">
        <v>1281</v>
      </c>
      <c r="BP232" s="112" t="s">
        <v>1281</v>
      </c>
      <c r="BQ232" s="112" t="s">
        <v>1281</v>
      </c>
      <c r="BR232" s="112" t="s">
        <v>1281</v>
      </c>
      <c r="BS232" s="112" t="s">
        <v>1281</v>
      </c>
      <c r="BT232" s="112" t="s">
        <v>1281</v>
      </c>
      <c r="BU232" s="112" t="s">
        <v>1281</v>
      </c>
      <c r="BV232" s="111">
        <f t="shared" ref="BV232:BV233" si="1762">E232</f>
        <v>19</v>
      </c>
      <c r="BW232" s="113" t="str">
        <f t="shared" ref="BW232:BW233" si="1763">I232</f>
        <v>-</v>
      </c>
      <c r="BX232" s="114">
        <f t="shared" ref="BX232:BX233" si="1764">M232</f>
        <v>58</v>
      </c>
      <c r="BY232" s="113">
        <f t="shared" ref="BY232:BY233" si="1765">Q232</f>
        <v>90</v>
      </c>
      <c r="BZ232" s="114">
        <f t="shared" ref="BZ232:BZ233" si="1766">U232</f>
        <v>94</v>
      </c>
      <c r="CA232" s="113">
        <f t="shared" ref="CA232:CA233" si="1767">Y232</f>
        <v>130</v>
      </c>
      <c r="CB232" s="114">
        <f t="shared" ref="CB232:CB233" si="1768">AC232</f>
        <v>138</v>
      </c>
      <c r="CC232" s="113">
        <f t="shared" ref="CC232:CC233" si="1769">AG232</f>
        <v>176</v>
      </c>
      <c r="CD232" s="114">
        <f t="shared" ref="CD232:CD233" si="1770">AK232</f>
        <v>186</v>
      </c>
      <c r="CE232" s="113">
        <f t="shared" ref="CE232:CE233" si="1771">AO232</f>
        <v>237</v>
      </c>
      <c r="CF232" s="114">
        <f t="shared" ref="CF232:CF233" si="1772">AS232</f>
        <v>277</v>
      </c>
      <c r="CG232" s="113">
        <f t="shared" ref="CG232:CG233" si="1773">AW232</f>
        <v>306</v>
      </c>
      <c r="CH232" s="111">
        <f t="shared" ref="CH232:CH233" si="1774">G232</f>
        <v>55</v>
      </c>
      <c r="CI232" s="113" t="str">
        <f t="shared" ref="CI232:CI233" si="1775">K232</f>
        <v>-</v>
      </c>
      <c r="CJ232" s="114">
        <f t="shared" ref="CJ232:CJ233" si="1776">O232</f>
        <v>88</v>
      </c>
      <c r="CK232" s="114">
        <f t="shared" ref="CK232:CK233" si="1777">S232</f>
        <v>93</v>
      </c>
      <c r="CL232" s="114">
        <f t="shared" ref="CL232:CL233" si="1778">W232</f>
        <v>129</v>
      </c>
      <c r="CM232" s="114">
        <f t="shared" ref="CM232:CM233" si="1779">AA232</f>
        <v>137</v>
      </c>
      <c r="CN232" s="114">
        <f t="shared" ref="CN232:CN233" si="1780">AE232</f>
        <v>164</v>
      </c>
      <c r="CO232" s="114">
        <f t="shared" ref="CO232:CO233" si="1781">AI232</f>
        <v>178</v>
      </c>
      <c r="CP232" s="114">
        <f t="shared" ref="CP232:CP233" si="1782">AM232</f>
        <v>232</v>
      </c>
      <c r="CQ232" s="114">
        <f t="shared" ref="CQ232:CQ233" si="1783">AQ232</f>
        <v>267</v>
      </c>
      <c r="CR232" s="114">
        <f t="shared" ref="CR232:CR233" si="1784">AU232</f>
        <v>305</v>
      </c>
      <c r="CS232" s="114">
        <f t="shared" ref="CS232:CS233" si="1785">AY232</f>
        <v>317</v>
      </c>
      <c r="CT232" s="109" t="e">
        <f t="shared" ref="CT232:CT233" si="1786">M232-K232</f>
        <v>#VALUE!</v>
      </c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</row>
    <row r="233" spans="1:1029" s="12" customFormat="1" x14ac:dyDescent="0.2">
      <c r="A233" s="9" t="str">
        <f t="shared" si="1759"/>
        <v>fpr2_human_6LW5</v>
      </c>
      <c r="B233" s="9" t="s">
        <v>201</v>
      </c>
      <c r="C233" s="9" t="s">
        <v>1656</v>
      </c>
      <c r="D233" s="9" t="str">
        <f>IFERROR(MID(VLOOKUP($B233,Seqs!$A:$B,2,0),E233,1),"")</f>
        <v>S</v>
      </c>
      <c r="E233" s="9">
        <v>19</v>
      </c>
      <c r="F233" s="9" t="str">
        <f>IFERROR(MID(VLOOKUP($B233,Seqs!$A:$B,2,0),G233,1),"")</f>
        <v>M</v>
      </c>
      <c r="G233" s="9">
        <v>55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58</v>
      </c>
      <c r="N233" s="9" t="str">
        <f>IFERROR(MID(VLOOKUP($B233,Seqs!$A:$B,2,0),O233,1),"")</f>
        <v>G</v>
      </c>
      <c r="O233" s="9">
        <v>88</v>
      </c>
      <c r="P233" s="9" t="str">
        <f>IFERROR(MID(VLOOKUP($B233,Seqs!$A:$B,2,0),Q233,1),"")</f>
        <v>K</v>
      </c>
      <c r="Q233" s="9">
        <v>90</v>
      </c>
      <c r="R233" s="9" t="str">
        <f>IFERROR(MID(VLOOKUP($B233,Seqs!$A:$B,2,0),S233,1),"")</f>
        <v>F</v>
      </c>
      <c r="S233" s="9">
        <v>93</v>
      </c>
      <c r="T233" s="9" t="str">
        <f>IFERROR(MID(VLOOKUP($B233,Seqs!$A:$B,2,0),U233,1),"")</f>
        <v>G</v>
      </c>
      <c r="U233" s="9">
        <v>94</v>
      </c>
      <c r="V233" s="9" t="str">
        <f>IFERROR(MID(VLOOKUP($B233,Seqs!$A:$B,2,0),W233,1),"")</f>
        <v>H</v>
      </c>
      <c r="W233" s="9">
        <v>129</v>
      </c>
      <c r="X233" s="9" t="str">
        <f>IFERROR(MID(VLOOKUP($B233,Seqs!$A:$B,2,0),Y233,1),"")</f>
        <v>P</v>
      </c>
      <c r="Y233" s="9">
        <v>130</v>
      </c>
      <c r="Z233" s="9" t="str">
        <f>IFERROR(MID(VLOOKUP($B233,Seqs!$A:$B,2,0),AA233,1),"")</f>
        <v>R</v>
      </c>
      <c r="AA233" s="9">
        <v>137</v>
      </c>
      <c r="AB233" s="9" t="str">
        <f>IFERROR(MID(VLOOKUP($B233,Seqs!$A:$B,2,0),AC233,1),"")</f>
        <v>T</v>
      </c>
      <c r="AC233" s="9">
        <v>138</v>
      </c>
      <c r="AD233" s="9" t="str">
        <f>IFERROR(MID(VLOOKUP($B233,Seqs!$A:$B,2,0),AE233,1),"")</f>
        <v>L</v>
      </c>
      <c r="AE233" s="9">
        <v>164</v>
      </c>
      <c r="AF233" s="9" t="str">
        <f>IFERROR(MID(VLOOKUP($B233,Seqs!$A:$B,2,0),AG233,1),"")</f>
        <v>C</v>
      </c>
      <c r="AG233" s="9">
        <v>176</v>
      </c>
      <c r="AH233" s="9" t="str">
        <f>IFERROR(MID(VLOOKUP($B233,Seqs!$A:$B,2,0),AI233,1),"")</f>
        <v>F</v>
      </c>
      <c r="AI233" s="9">
        <v>178</v>
      </c>
      <c r="AJ233" s="9" t="str">
        <f>IFERROR(MID(VLOOKUP($B233,Seqs!$A:$B,2,0),AK233,1),"")</f>
        <v>T</v>
      </c>
      <c r="AK233" s="9">
        <v>186</v>
      </c>
      <c r="AL233" s="9" t="str">
        <f>IFERROR(MID(VLOOKUP($B233,Seqs!$A:$B,2,0),AM233,1),"")</f>
        <v>K</v>
      </c>
      <c r="AM233" s="9">
        <v>231</v>
      </c>
      <c r="AN233" s="9" t="str">
        <f>IFERROR(MID(VLOOKUP($B233,Seqs!$A:$B,2,0),AO233,1),"")</f>
        <v>A</v>
      </c>
      <c r="AO233" s="9">
        <v>245</v>
      </c>
      <c r="AP233" s="9" t="str">
        <f>IFERROR(MID(VLOOKUP($B233,Seqs!$A:$B,2,0),AQ233,1),"")</f>
        <v>W</v>
      </c>
      <c r="AQ233" s="9">
        <v>267</v>
      </c>
      <c r="AR233" s="9" t="str">
        <f>IFERROR(MID(VLOOKUP($B233,Seqs!$A:$B,2,0),AS233,1),"")</f>
        <v>Y</v>
      </c>
      <c r="AS233" s="9">
        <v>277</v>
      </c>
      <c r="AT233" s="9" t="str">
        <f>IFERROR(MID(VLOOKUP($B233,Seqs!$A:$B,2,0),AU233,1),"")</f>
        <v>V</v>
      </c>
      <c r="AU233" s="9">
        <v>303</v>
      </c>
      <c r="AV233" s="9" t="str">
        <f>IFERROR(MID(VLOOKUP($B233,Seqs!$A:$B,2,0),AW233,1),"")</f>
        <v>Q</v>
      </c>
      <c r="AW233" s="9">
        <v>307</v>
      </c>
      <c r="AX233" s="9" t="str">
        <f>IFERROR(MID(VLOOKUP($B233,Seqs!$A:$B,2,0),AY233,1),"")</f>
        <v>L</v>
      </c>
      <c r="AY233" s="9">
        <v>317</v>
      </c>
      <c r="AZ233" s="110" t="str">
        <f>VLOOKUP(B233,Classification!A:D,2,0)</f>
        <v>A</v>
      </c>
      <c r="BA233" s="98" t="str">
        <f>VLOOKUP(B233,Classification!A:D,4,0)</f>
        <v>Formylpeptide</v>
      </c>
      <c r="BB233" s="36" t="b">
        <f t="shared" si="1760"/>
        <v>1</v>
      </c>
      <c r="BC233" s="109">
        <f t="shared" si="1761"/>
        <v>254</v>
      </c>
      <c r="BD233" s="126" t="s">
        <v>23</v>
      </c>
      <c r="BE233" s="9" t="s">
        <v>1285</v>
      </c>
      <c r="BF233" s="119">
        <v>2.8</v>
      </c>
      <c r="BG233" s="51" t="s">
        <v>1</v>
      </c>
      <c r="BH233" s="51" t="s">
        <v>1</v>
      </c>
      <c r="BJ233" s="111" t="s">
        <v>1281</v>
      </c>
      <c r="BK233" s="112" t="s">
        <v>1281</v>
      </c>
      <c r="BL233" s="112" t="s">
        <v>1281</v>
      </c>
      <c r="BM233" s="112" t="s">
        <v>1281</v>
      </c>
      <c r="BN233" s="112" t="s">
        <v>1281</v>
      </c>
      <c r="BO233" s="112" t="s">
        <v>1281</v>
      </c>
      <c r="BP233" s="112" t="s">
        <v>1281</v>
      </c>
      <c r="BQ233" s="112" t="s">
        <v>1281</v>
      </c>
      <c r="BR233" s="112" t="s">
        <v>1281</v>
      </c>
      <c r="BS233" s="112" t="s">
        <v>1281</v>
      </c>
      <c r="BT233" s="112" t="s">
        <v>1281</v>
      </c>
      <c r="BU233" s="112" t="s">
        <v>1281</v>
      </c>
      <c r="BV233" s="111">
        <f t="shared" si="1762"/>
        <v>19</v>
      </c>
      <c r="BW233" s="113" t="str">
        <f t="shared" si="1763"/>
        <v>-</v>
      </c>
      <c r="BX233" s="114">
        <f t="shared" si="1764"/>
        <v>58</v>
      </c>
      <c r="BY233" s="113">
        <f t="shared" si="1765"/>
        <v>90</v>
      </c>
      <c r="BZ233" s="114">
        <f t="shared" si="1766"/>
        <v>94</v>
      </c>
      <c r="CA233" s="113">
        <f t="shared" si="1767"/>
        <v>130</v>
      </c>
      <c r="CB233" s="114">
        <f t="shared" si="1768"/>
        <v>138</v>
      </c>
      <c r="CC233" s="113">
        <f t="shared" si="1769"/>
        <v>176</v>
      </c>
      <c r="CD233" s="114">
        <f t="shared" si="1770"/>
        <v>186</v>
      </c>
      <c r="CE233" s="113">
        <f t="shared" si="1771"/>
        <v>245</v>
      </c>
      <c r="CF233" s="114">
        <f t="shared" si="1772"/>
        <v>277</v>
      </c>
      <c r="CG233" s="113">
        <f t="shared" si="1773"/>
        <v>307</v>
      </c>
      <c r="CH233" s="111">
        <f t="shared" si="1774"/>
        <v>55</v>
      </c>
      <c r="CI233" s="113" t="str">
        <f t="shared" si="1775"/>
        <v>-</v>
      </c>
      <c r="CJ233" s="114">
        <f t="shared" si="1776"/>
        <v>88</v>
      </c>
      <c r="CK233" s="114">
        <f t="shared" si="1777"/>
        <v>93</v>
      </c>
      <c r="CL233" s="114">
        <f t="shared" si="1778"/>
        <v>129</v>
      </c>
      <c r="CM233" s="114">
        <f t="shared" si="1779"/>
        <v>137</v>
      </c>
      <c r="CN233" s="114">
        <f t="shared" si="1780"/>
        <v>164</v>
      </c>
      <c r="CO233" s="114">
        <f t="shared" si="1781"/>
        <v>178</v>
      </c>
      <c r="CP233" s="114">
        <f t="shared" si="1782"/>
        <v>231</v>
      </c>
      <c r="CQ233" s="114">
        <f t="shared" si="1783"/>
        <v>267</v>
      </c>
      <c r="CR233" s="114">
        <f t="shared" si="1784"/>
        <v>303</v>
      </c>
      <c r="CS233" s="114">
        <f t="shared" si="1785"/>
        <v>317</v>
      </c>
      <c r="CT233" s="109" t="e">
        <f t="shared" si="1786"/>
        <v>#VALUE!</v>
      </c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</row>
    <row r="234" spans="1:1029" s="12" customFormat="1" x14ac:dyDescent="0.2">
      <c r="A234" s="9" t="str">
        <f t="shared" ref="A234" si="1787">CONCATENATE(B234,"_",C234)</f>
        <v>fpr2_human_6OMM</v>
      </c>
      <c r="B234" s="9" t="s">
        <v>201</v>
      </c>
      <c r="C234" s="9" t="s">
        <v>1657</v>
      </c>
      <c r="D234" s="9" t="str">
        <f>IFERROR(MID(VLOOKUP($B234,Seqs!$A:$B,2,0),E234,1),"")</f>
        <v>G</v>
      </c>
      <c r="E234" s="9">
        <v>21</v>
      </c>
      <c r="F234" s="9" t="str">
        <f>IFERROR(MID(VLOOKUP($B234,Seqs!$A:$B,2,0),G234,1),"")</f>
        <v>M</v>
      </c>
      <c r="G234" s="9">
        <v>55</v>
      </c>
      <c r="H234" s="9" t="str">
        <f>IFERROR(MID(VLOOKUP($B234,Seqs!$A:$B,2,0),I234,1),"")</f>
        <v/>
      </c>
      <c r="I234" s="109" t="s">
        <v>23</v>
      </c>
      <c r="J234" s="9" t="str">
        <f>IFERROR(MID(VLOOKUP($B234,Seqs!$A:$B,2,0),K234,1),"")</f>
        <v/>
      </c>
      <c r="K234" s="109" t="s">
        <v>23</v>
      </c>
      <c r="L234" s="9" t="str">
        <f>IFERROR(MID(VLOOKUP($B234,Seqs!$A:$B,2,0),M234,1),"")</f>
        <v>T</v>
      </c>
      <c r="M234" s="9">
        <v>58</v>
      </c>
      <c r="N234" s="9" t="str">
        <f>IFERROR(MID(VLOOKUP($B234,Seqs!$A:$B,2,0),O234,1),"")</f>
        <v>G</v>
      </c>
      <c r="O234" s="9">
        <v>88</v>
      </c>
      <c r="P234" s="9" t="str">
        <f>IFERROR(MID(VLOOKUP($B234,Seqs!$A:$B,2,0),Q234,1),"")</f>
        <v>K</v>
      </c>
      <c r="Q234" s="9">
        <v>90</v>
      </c>
      <c r="R234" s="9" t="str">
        <f>IFERROR(MID(VLOOKUP($B234,Seqs!$A:$B,2,0),S234,1),"")</f>
        <v>F</v>
      </c>
      <c r="S234" s="9">
        <v>93</v>
      </c>
      <c r="T234" s="9" t="str">
        <f>IFERROR(MID(VLOOKUP($B234,Seqs!$A:$B,2,0),U234,1),"")</f>
        <v>G</v>
      </c>
      <c r="U234" s="9">
        <v>94</v>
      </c>
      <c r="V234" s="9" t="str">
        <f>IFERROR(MID(VLOOKUP($B234,Seqs!$A:$B,2,0),W234,1),"")</f>
        <v>H</v>
      </c>
      <c r="W234" s="9">
        <v>129</v>
      </c>
      <c r="X234" s="9" t="str">
        <f>IFERROR(MID(VLOOKUP($B234,Seqs!$A:$B,2,0),Y234,1),"")</f>
        <v>P</v>
      </c>
      <c r="Y234" s="9">
        <v>130</v>
      </c>
      <c r="Z234" s="9" t="str">
        <f>IFERROR(MID(VLOOKUP($B234,Seqs!$A:$B,2,0),AA234,1),"")</f>
        <v>R</v>
      </c>
      <c r="AA234" s="9">
        <v>137</v>
      </c>
      <c r="AB234" s="9" t="str">
        <f>IFERROR(MID(VLOOKUP($B234,Seqs!$A:$B,2,0),AC234,1),"")</f>
        <v>T</v>
      </c>
      <c r="AC234" s="9">
        <v>138</v>
      </c>
      <c r="AD234" s="9" t="str">
        <f>IFERROR(MID(VLOOKUP($B234,Seqs!$A:$B,2,0),AE234,1),"")</f>
        <v>L</v>
      </c>
      <c r="AE234" s="9">
        <v>164</v>
      </c>
      <c r="AF234" s="9" t="str">
        <f>IFERROR(MID(VLOOKUP($B234,Seqs!$A:$B,2,0),AG234,1),"")</f>
        <v>C</v>
      </c>
      <c r="AG234" s="9">
        <v>176</v>
      </c>
      <c r="AH234" s="9" t="str">
        <f>IFERROR(MID(VLOOKUP($B234,Seqs!$A:$B,2,0),AI234,1),"")</f>
        <v>F</v>
      </c>
      <c r="AI234" s="9">
        <v>178</v>
      </c>
      <c r="AJ234" s="9" t="str">
        <f>IFERROR(MID(VLOOKUP($B234,Seqs!$A:$B,2,0),AK234,1),"")</f>
        <v>T</v>
      </c>
      <c r="AK234" s="9">
        <v>186</v>
      </c>
      <c r="AL234" s="9" t="str">
        <f>IFERROR(MID(VLOOKUP($B234,Seqs!$A:$B,2,0),AM234,1),"")</f>
        <v>G</v>
      </c>
      <c r="AM234" s="9">
        <v>232</v>
      </c>
      <c r="AN234" s="9" t="str">
        <f>IFERROR(MID(VLOOKUP($B234,Seqs!$A:$B,2,0),AO234,1),"")</f>
        <v>S</v>
      </c>
      <c r="AO234" s="9">
        <v>237</v>
      </c>
      <c r="AP234" s="9" t="str">
        <f>IFERROR(MID(VLOOKUP($B234,Seqs!$A:$B,2,0),AQ234,1),"")</f>
        <v>W</v>
      </c>
      <c r="AQ234" s="9">
        <v>267</v>
      </c>
      <c r="AR234" s="9" t="str">
        <f>IFERROR(MID(VLOOKUP($B234,Seqs!$A:$B,2,0),AS234,1),"")</f>
        <v>K</v>
      </c>
      <c r="AS234" s="9">
        <v>278</v>
      </c>
      <c r="AT234" s="9" t="str">
        <f>IFERROR(MID(VLOOKUP($B234,Seqs!$A:$B,2,0),AU234,1),"")</f>
        <v>V</v>
      </c>
      <c r="AU234" s="9">
        <v>305</v>
      </c>
      <c r="AV234" s="9" t="str">
        <f>IFERROR(MID(VLOOKUP($B234,Seqs!$A:$B,2,0),AW234,1),"")</f>
        <v>G</v>
      </c>
      <c r="AW234" s="9">
        <v>306</v>
      </c>
      <c r="AX234" s="9" t="str">
        <f>IFERROR(MID(VLOOKUP($B234,Seqs!$A:$B,2,0),AY234,1),"")</f>
        <v>L</v>
      </c>
      <c r="AY234" s="9">
        <v>317</v>
      </c>
      <c r="AZ234" s="110" t="str">
        <f>VLOOKUP(B234,Classification!A:D,2,0)</f>
        <v>A</v>
      </c>
      <c r="BA234" s="98" t="str">
        <f>VLOOKUP(B234,Classification!A:D,4,0)</f>
        <v>Formylpeptide</v>
      </c>
      <c r="BB234" s="36" t="b">
        <f t="shared" ref="BB234" si="1788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 t="shared" ref="BC234" si="1789">_xlfn.AGGREGATE(9,6,CH234:CS234)-_xlfn.AGGREGATE(9,6,BV234:CG234)+12</f>
        <v>263</v>
      </c>
      <c r="BD234" s="126" t="s">
        <v>1369</v>
      </c>
      <c r="BE234" s="9" t="s">
        <v>1285</v>
      </c>
      <c r="BF234" s="119">
        <v>3.17</v>
      </c>
      <c r="BG234" s="51" t="s">
        <v>1</v>
      </c>
      <c r="BH234" s="51" t="s">
        <v>1</v>
      </c>
      <c r="BJ234" s="111" t="s">
        <v>1281</v>
      </c>
      <c r="BK234" s="112" t="s">
        <v>1281</v>
      </c>
      <c r="BL234" s="112" t="s">
        <v>1281</v>
      </c>
      <c r="BM234" s="112" t="s">
        <v>1281</v>
      </c>
      <c r="BN234" s="112" t="s">
        <v>1281</v>
      </c>
      <c r="BO234" s="112" t="s">
        <v>1281</v>
      </c>
      <c r="BP234" s="112" t="s">
        <v>1281</v>
      </c>
      <c r="BQ234" s="112" t="s">
        <v>1281</v>
      </c>
      <c r="BR234" s="112" t="s">
        <v>1281</v>
      </c>
      <c r="BS234" s="112" t="s">
        <v>1281</v>
      </c>
      <c r="BT234" s="112" t="s">
        <v>1281</v>
      </c>
      <c r="BU234" s="112" t="s">
        <v>1281</v>
      </c>
      <c r="BV234" s="111">
        <f t="shared" ref="BV234" si="1790">E234</f>
        <v>21</v>
      </c>
      <c r="BW234" s="113" t="str">
        <f t="shared" ref="BW234" si="1791">I234</f>
        <v>-</v>
      </c>
      <c r="BX234" s="114">
        <f t="shared" ref="BX234" si="1792">M234</f>
        <v>58</v>
      </c>
      <c r="BY234" s="113">
        <f t="shared" ref="BY234" si="1793">Q234</f>
        <v>90</v>
      </c>
      <c r="BZ234" s="114">
        <f t="shared" ref="BZ234" si="1794">U234</f>
        <v>94</v>
      </c>
      <c r="CA234" s="113">
        <f t="shared" ref="CA234" si="1795">Y234</f>
        <v>130</v>
      </c>
      <c r="CB234" s="114">
        <f t="shared" ref="CB234" si="1796">AC234</f>
        <v>138</v>
      </c>
      <c r="CC234" s="113">
        <f t="shared" ref="CC234" si="1797">AG234</f>
        <v>176</v>
      </c>
      <c r="CD234" s="114">
        <f t="shared" ref="CD234" si="1798">AK234</f>
        <v>186</v>
      </c>
      <c r="CE234" s="113">
        <f t="shared" ref="CE234" si="1799">AO234</f>
        <v>237</v>
      </c>
      <c r="CF234" s="114">
        <f t="shared" ref="CF234" si="1800">AS234</f>
        <v>278</v>
      </c>
      <c r="CG234" s="113">
        <f t="shared" ref="CG234" si="1801">AW234</f>
        <v>306</v>
      </c>
      <c r="CH234" s="111">
        <f t="shared" ref="CH234" si="1802">G234</f>
        <v>55</v>
      </c>
      <c r="CI234" s="113" t="str">
        <f t="shared" ref="CI234" si="1803">K234</f>
        <v>-</v>
      </c>
      <c r="CJ234" s="114">
        <f t="shared" ref="CJ234" si="1804">O234</f>
        <v>88</v>
      </c>
      <c r="CK234" s="114">
        <f t="shared" ref="CK234" si="1805">S234</f>
        <v>93</v>
      </c>
      <c r="CL234" s="114">
        <f t="shared" ref="CL234" si="1806">W234</f>
        <v>129</v>
      </c>
      <c r="CM234" s="114">
        <f t="shared" ref="CM234" si="1807">AA234</f>
        <v>137</v>
      </c>
      <c r="CN234" s="114">
        <f t="shared" ref="CN234" si="1808">AE234</f>
        <v>164</v>
      </c>
      <c r="CO234" s="114">
        <f t="shared" ref="CO234" si="1809">AI234</f>
        <v>178</v>
      </c>
      <c r="CP234" s="114">
        <f t="shared" ref="CP234" si="1810">AM234</f>
        <v>232</v>
      </c>
      <c r="CQ234" s="114">
        <f t="shared" ref="CQ234" si="1811">AQ234</f>
        <v>267</v>
      </c>
      <c r="CR234" s="114">
        <f t="shared" ref="CR234" si="1812">AU234</f>
        <v>305</v>
      </c>
      <c r="CS234" s="114">
        <f t="shared" ref="CS234" si="1813">AY234</f>
        <v>317</v>
      </c>
      <c r="CT234" s="109" t="e">
        <f t="shared" ref="CT234" si="1814">M234-K234</f>
        <v>#VALUE!</v>
      </c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</row>
    <row r="235" spans="1:1029" s="12" customFormat="1" x14ac:dyDescent="0.2">
      <c r="A235" s="9" t="str">
        <f t="shared" ref="A235" si="1815">CONCATENATE(B235,"_",C235)</f>
        <v>gpr52_human__wt</v>
      </c>
      <c r="B235" s="9" t="s">
        <v>259</v>
      </c>
      <c r="C235" s="9" t="s">
        <v>100</v>
      </c>
      <c r="D235" s="9" t="str">
        <f>IFERROR(MID(VLOOKUP($B235,Seqs!$A:$B,2,0),E235,1),"")</f>
        <v>C</v>
      </c>
      <c r="E235" s="9">
        <v>40</v>
      </c>
      <c r="F235" s="9" t="str">
        <f>IFERROR(MID(VLOOKUP($B235,Seqs!$A:$B,2,0),G235,1),"")</f>
        <v>A</v>
      </c>
      <c r="G235" s="9">
        <v>68</v>
      </c>
      <c r="H235" s="9" t="str">
        <f>IFERROR(MID(VLOOKUP($B235,Seqs!$A:$B,2,0),I235,1),"")</f>
        <v>P</v>
      </c>
      <c r="I235" s="109">
        <v>69</v>
      </c>
      <c r="J235" s="9" t="str">
        <f>IFERROR(MID(VLOOKUP($B235,Seqs!$A:$B,2,0),K235,1),"")</f>
        <v>H</v>
      </c>
      <c r="K235" s="109">
        <v>73</v>
      </c>
      <c r="L235" s="9" t="str">
        <f>IFERROR(MID(VLOOKUP($B235,Seqs!$A:$B,2,0),M235,1),"")</f>
        <v>Y</v>
      </c>
      <c r="M235" s="9">
        <v>74</v>
      </c>
      <c r="N235" s="9" t="str">
        <f>IFERROR(MID(VLOOKUP($B235,Seqs!$A:$B,2,0),O235,1),"")</f>
        <v>Y</v>
      </c>
      <c r="O235" s="9">
        <v>104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E</v>
      </c>
      <c r="U235" s="9">
        <v>110</v>
      </c>
      <c r="V235" s="9" t="str">
        <f>IFERROR(MID(VLOOKUP($B235,Seqs!$A:$B,2,0),W235,1),"")</f>
        <v>K</v>
      </c>
      <c r="W235" s="9">
        <v>145</v>
      </c>
      <c r="X235" s="9" t="str">
        <f>IFERROR(MID(VLOOKUP($B235,Seqs!$A:$B,2,0),Y235,1),"")</f>
        <v>P</v>
      </c>
      <c r="Y235" s="9">
        <v>146</v>
      </c>
      <c r="Z235" s="9" t="str">
        <f>IFERROR(MID(VLOOKUP($B235,Seqs!$A:$B,2,0),AA235,1),"")</f>
        <v>V</v>
      </c>
      <c r="AA235" s="9">
        <v>153</v>
      </c>
      <c r="AB235" s="9" t="str">
        <f>IFERROR(MID(VLOOKUP($B235,Seqs!$A:$B,2,0),AC235,1),"")</f>
        <v>T</v>
      </c>
      <c r="AC235" s="9">
        <v>154</v>
      </c>
      <c r="AD235" s="9" t="str">
        <f>IFERROR(MID(VLOOKUP($B235,Seqs!$A:$B,2,0),AE235,1),"")</f>
        <v>F</v>
      </c>
      <c r="AE235" s="9">
        <v>178</v>
      </c>
      <c r="AF235" s="9" t="str">
        <f>IFERROR(MID(VLOOKUP($B235,Seqs!$A:$B,2,0),AG235,1),"")</f>
        <v>C</v>
      </c>
      <c r="AG235" s="9">
        <v>193</v>
      </c>
      <c r="AH235" s="9" t="str">
        <f>IFERROR(MID(VLOOKUP($B235,Seqs!$A:$B,2,0),AI235,1),"")</f>
        <v>T</v>
      </c>
      <c r="AI235" s="9">
        <v>195</v>
      </c>
      <c r="AJ235" s="9" t="str">
        <f>IFERROR(MID(VLOOKUP($B235,Seqs!$A:$B,2,0),AK235,1),"")</f>
        <v>S</v>
      </c>
      <c r="AK235" s="9">
        <v>200</v>
      </c>
      <c r="AL235" s="9" t="str">
        <f>IFERROR(MID(VLOOKUP($B235,Seqs!$A:$B,2,0),AM235,1),"")</f>
        <v>N</v>
      </c>
      <c r="AM235" s="9">
        <v>238</v>
      </c>
      <c r="AN235" s="9" t="str">
        <f>IFERROR(MID(VLOOKUP($B235,Seqs!$A:$B,2,0),AO235,1),"")</f>
        <v>S</v>
      </c>
      <c r="AO235" s="9">
        <v>251</v>
      </c>
      <c r="AP235" s="9" t="str">
        <f>IFERROR(MID(VLOOKUP($B235,Seqs!$A:$B,2,0),AQ235,1),"")</f>
        <v>R</v>
      </c>
      <c r="AQ235" s="9">
        <v>291</v>
      </c>
      <c r="AR235" s="9" t="str">
        <f>IFERROR(MID(VLOOKUP($B235,Seqs!$A:$B,2,0),AS235,1),"")</f>
        <v>N</v>
      </c>
      <c r="AS235" s="9">
        <v>295</v>
      </c>
      <c r="AT235" s="9" t="str">
        <f>IFERROR(MID(VLOOKUP($B235,Seqs!$A:$B,2,0),AU235,1),"")</f>
        <v>S</v>
      </c>
      <c r="AU235" s="9">
        <v>320</v>
      </c>
      <c r="AV235" s="9" t="str">
        <f>IFERROR(MID(VLOOKUP($B235,Seqs!$A:$B,2,0),AW235,1),"")</f>
        <v>N</v>
      </c>
      <c r="AW235" s="9">
        <v>321</v>
      </c>
      <c r="AX235" s="9" t="str">
        <f>IFERROR(MID(VLOOKUP($B235,Seqs!$A:$B,2,0),AY235,1),"")</f>
        <v>C</v>
      </c>
      <c r="AY235" s="9">
        <v>341</v>
      </c>
      <c r="AZ235" s="110" t="str">
        <f>VLOOKUP(B235,Classification!A:D,2,0)</f>
        <v>A</v>
      </c>
      <c r="BA235" s="98" t="str">
        <f>VLOOKUP(B235,Classification!A:D,4,0)</f>
        <v>ClassAorphans</v>
      </c>
      <c r="BB235" s="36" t="b">
        <f t="shared" ref="BB235" si="1816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 t="shared" ref="BC235" si="1817">_xlfn.AGGREGATE(9,6,CH235:CS235)-_xlfn.AGGREGATE(9,6,BV235:CG235)+12</f>
        <v>265</v>
      </c>
      <c r="BD235" s="126" t="s">
        <v>23</v>
      </c>
      <c r="BE235" s="9" t="s">
        <v>23</v>
      </c>
      <c r="BF235" s="119" t="s">
        <v>23</v>
      </c>
      <c r="BG235" s="51"/>
      <c r="BH235" s="51"/>
      <c r="BJ235" s="111" t="s">
        <v>1281</v>
      </c>
      <c r="BK235" s="112" t="s">
        <v>1281</v>
      </c>
      <c r="BL235" s="112" t="s">
        <v>1281</v>
      </c>
      <c r="BM235" s="112" t="s">
        <v>1281</v>
      </c>
      <c r="BN235" s="112" t="s">
        <v>1281</v>
      </c>
      <c r="BO235" s="112" t="s">
        <v>1281</v>
      </c>
      <c r="BP235" s="112" t="s">
        <v>1281</v>
      </c>
      <c r="BQ235" s="112" t="s">
        <v>1281</v>
      </c>
      <c r="BR235" s="112" t="s">
        <v>1281</v>
      </c>
      <c r="BS235" s="112" t="s">
        <v>1281</v>
      </c>
      <c r="BT235" s="112" t="s">
        <v>1281</v>
      </c>
      <c r="BU235" s="112" t="s">
        <v>1281</v>
      </c>
      <c r="BV235" s="111">
        <f t="shared" ref="BV235" si="1818">E235</f>
        <v>40</v>
      </c>
      <c r="BW235" s="113">
        <f t="shared" ref="BW235" si="1819">I235</f>
        <v>69</v>
      </c>
      <c r="BX235" s="114">
        <f t="shared" ref="BX235" si="1820">M235</f>
        <v>74</v>
      </c>
      <c r="BY235" s="113" t="str">
        <f t="shared" ref="BY235" si="1821">Q235</f>
        <v>-</v>
      </c>
      <c r="BZ235" s="114">
        <f t="shared" ref="BZ235" si="1822">U235</f>
        <v>110</v>
      </c>
      <c r="CA235" s="113">
        <f t="shared" ref="CA235" si="1823">Y235</f>
        <v>146</v>
      </c>
      <c r="CB235" s="114">
        <f t="shared" ref="CB235" si="1824">AC235</f>
        <v>154</v>
      </c>
      <c r="CC235" s="113">
        <f t="shared" ref="CC235" si="1825">AG235</f>
        <v>193</v>
      </c>
      <c r="CD235" s="114">
        <f t="shared" ref="CD235" si="1826">AK235</f>
        <v>200</v>
      </c>
      <c r="CE235" s="113">
        <f t="shared" ref="CE235" si="1827">AO235</f>
        <v>251</v>
      </c>
      <c r="CF235" s="114">
        <f t="shared" ref="CF235" si="1828">AS235</f>
        <v>295</v>
      </c>
      <c r="CG235" s="113">
        <f t="shared" ref="CG235" si="1829">AW235</f>
        <v>321</v>
      </c>
      <c r="CH235" s="111">
        <f t="shared" ref="CH235" si="1830">G235</f>
        <v>68</v>
      </c>
      <c r="CI235" s="113">
        <f t="shared" ref="CI235" si="1831">K235</f>
        <v>73</v>
      </c>
      <c r="CJ235" s="114">
        <f t="shared" ref="CJ235" si="1832">O235</f>
        <v>104</v>
      </c>
      <c r="CK235" s="114" t="str">
        <f t="shared" ref="CK235" si="1833">S235</f>
        <v>-</v>
      </c>
      <c r="CL235" s="114">
        <f t="shared" ref="CL235" si="1834">W235</f>
        <v>145</v>
      </c>
      <c r="CM235" s="114">
        <f t="shared" ref="CM235" si="1835">AA235</f>
        <v>153</v>
      </c>
      <c r="CN235" s="114">
        <f t="shared" ref="CN235" si="1836">AE235</f>
        <v>178</v>
      </c>
      <c r="CO235" s="114">
        <f t="shared" ref="CO235" si="1837">AI235</f>
        <v>195</v>
      </c>
      <c r="CP235" s="114">
        <f t="shared" ref="CP235" si="1838">AM235</f>
        <v>238</v>
      </c>
      <c r="CQ235" s="114">
        <f t="shared" ref="CQ235" si="1839">AQ235</f>
        <v>291</v>
      </c>
      <c r="CR235" s="114">
        <f t="shared" ref="CR235" si="1840">AU235</f>
        <v>320</v>
      </c>
      <c r="CS235" s="114">
        <f t="shared" ref="CS235" si="1841">AY235</f>
        <v>341</v>
      </c>
      <c r="CT235" s="109">
        <f t="shared" ref="CT235" si="1842">M235-K235</f>
        <v>1</v>
      </c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</row>
    <row r="236" spans="1:1029" s="12" customFormat="1" x14ac:dyDescent="0.2">
      <c r="A236" s="9" t="str">
        <f t="shared" ref="A236" si="1843">CONCATENATE(B236,"_",C236)</f>
        <v>gpr52_human_6LI0</v>
      </c>
      <c r="B236" s="9" t="s">
        <v>259</v>
      </c>
      <c r="C236" s="9" t="s">
        <v>1661</v>
      </c>
      <c r="D236" s="9" t="str">
        <f>IFERROR(MID(VLOOKUP($B236,Seqs!$A:$B,2,0),E236,1),"")</f>
        <v>C</v>
      </c>
      <c r="E236" s="9">
        <v>40</v>
      </c>
      <c r="F236" s="9" t="str">
        <f>IFERROR(MID(VLOOKUP($B236,Seqs!$A:$B,2,0),G236,1),"")</f>
        <v>C</v>
      </c>
      <c r="G236" s="9">
        <v>67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H</v>
      </c>
      <c r="M236" s="9">
        <v>73</v>
      </c>
      <c r="N236" s="9" t="str">
        <f>IFERROR(MID(VLOOKUP($B236,Seqs!$A:$B,2,0),O236,1),"")</f>
        <v>Y</v>
      </c>
      <c r="O236" s="9">
        <v>104</v>
      </c>
      <c r="P236" s="9" t="str">
        <f>IFERROR(MID(VLOOKUP($B236,Seqs!$A:$B,2,0),Q236,1),"")</f>
        <v/>
      </c>
      <c r="Q236" s="9" t="s">
        <v>23</v>
      </c>
      <c r="R236" s="9" t="str">
        <f>IFERROR(MID(VLOOKUP($B236,Seqs!$A:$B,2,0),S236,1),"")</f>
        <v/>
      </c>
      <c r="S236" s="9" t="s">
        <v>23</v>
      </c>
      <c r="T236" s="9" t="str">
        <f>IFERROR(MID(VLOOKUP($B236,Seqs!$A:$B,2,0),U236,1),"")</f>
        <v>E</v>
      </c>
      <c r="U236" s="9">
        <v>110</v>
      </c>
      <c r="V236" s="9" t="str">
        <f>IFERROR(MID(VLOOKUP($B236,Seqs!$A:$B,2,0),W236,1),"")</f>
        <v>K</v>
      </c>
      <c r="W236" s="9">
        <v>145</v>
      </c>
      <c r="X236" s="9" t="str">
        <f>IFERROR(MID(VLOOKUP($B236,Seqs!$A:$B,2,0),Y236,1),"")</f>
        <v>P</v>
      </c>
      <c r="Y236" s="9">
        <v>146</v>
      </c>
      <c r="Z236" s="9" t="str">
        <f>IFERROR(MID(VLOOKUP($B236,Seqs!$A:$B,2,0),AA236,1),"")</f>
        <v>V</v>
      </c>
      <c r="AA236" s="9">
        <v>153</v>
      </c>
      <c r="AB236" s="9" t="str">
        <f>IFERROR(MID(VLOOKUP($B236,Seqs!$A:$B,2,0),AC236,1),"")</f>
        <v>T</v>
      </c>
      <c r="AC236" s="9">
        <v>154</v>
      </c>
      <c r="AD236" s="9" t="str">
        <f>IFERROR(MID(VLOOKUP($B236,Seqs!$A:$B,2,0),AE236,1),"")</f>
        <v>F</v>
      </c>
      <c r="AE236" s="9">
        <v>178</v>
      </c>
      <c r="AF236" s="9" t="str">
        <f>IFERROR(MID(VLOOKUP($B236,Seqs!$A:$B,2,0),AG236,1),"")</f>
        <v>C</v>
      </c>
      <c r="AG236" s="9">
        <v>193</v>
      </c>
      <c r="AH236" s="9" t="str">
        <f>IFERROR(MID(VLOOKUP($B236,Seqs!$A:$B,2,0),AI236,1),"")</f>
        <v>T</v>
      </c>
      <c r="AI236" s="9">
        <v>195</v>
      </c>
      <c r="AJ236" s="9" t="str">
        <f>IFERROR(MID(VLOOKUP($B236,Seqs!$A:$B,2,0),AK236,1),"")</f>
        <v>S</v>
      </c>
      <c r="AK236" s="9">
        <v>200</v>
      </c>
      <c r="AL236" s="9" t="str">
        <f>IFERROR(MID(VLOOKUP($B236,Seqs!$A:$B,2,0),AM236,1),"")</f>
        <v>I</v>
      </c>
      <c r="AM236" s="9">
        <v>229</v>
      </c>
      <c r="AN236" s="9" t="str">
        <f>IFERROR(MID(VLOOKUP($B236,Seqs!$A:$B,2,0),AO236,1),"")</f>
        <v>R</v>
      </c>
      <c r="AO236" s="9">
        <v>261</v>
      </c>
      <c r="AP236" s="9" t="str">
        <f>IFERROR(MID(VLOOKUP($B236,Seqs!$A:$B,2,0),AQ236,1),"")</f>
        <v>R</v>
      </c>
      <c r="AQ236" s="9">
        <v>291</v>
      </c>
      <c r="AR236" s="9" t="str">
        <f>IFERROR(MID(VLOOKUP($B236,Seqs!$A:$B,2,0),AS236,1),"")</f>
        <v>N</v>
      </c>
      <c r="AS236" s="9">
        <v>295</v>
      </c>
      <c r="AT236" s="9" t="str">
        <f>IFERROR(MID(VLOOKUP($B236,Seqs!$A:$B,2,0),AU236,1),"")</f>
        <v>S</v>
      </c>
      <c r="AU236" s="9">
        <v>320</v>
      </c>
      <c r="AV236" s="9" t="str">
        <f>IFERROR(MID(VLOOKUP($B236,Seqs!$A:$B,2,0),AW236,1),"")</f>
        <v>N</v>
      </c>
      <c r="AW236" s="9">
        <v>321</v>
      </c>
      <c r="AX236" s="9" t="str">
        <f>IFERROR(MID(VLOOKUP($B236,Seqs!$A:$B,2,0),AY236,1),"")</f>
        <v>M</v>
      </c>
      <c r="AY236" s="9">
        <v>335</v>
      </c>
      <c r="AZ236" s="110" t="str">
        <f>VLOOKUP(B236,Classification!A:D,2,0)</f>
        <v>A</v>
      </c>
      <c r="BA236" s="98" t="str">
        <f>VLOOKUP(B236,Classification!A:D,4,0)</f>
        <v>ClassAorphans</v>
      </c>
      <c r="BB236" s="36" t="b">
        <f t="shared" ref="BB236" si="1844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 t="shared" ref="BC236" si="1845">_xlfn.AGGREGATE(9,6,CH236:CS236)-_xlfn.AGGREGATE(9,6,BV236:CG236)+12</f>
        <v>236</v>
      </c>
      <c r="BD236" s="126" t="s">
        <v>23</v>
      </c>
      <c r="BE236" s="9" t="s">
        <v>1368</v>
      </c>
      <c r="BF236" s="119">
        <v>2.2000000000000002</v>
      </c>
      <c r="BG236" s="51" t="s">
        <v>1</v>
      </c>
      <c r="BH236" s="51" t="s">
        <v>1</v>
      </c>
      <c r="BJ236" s="111" t="s">
        <v>1281</v>
      </c>
      <c r="BK236" s="112" t="s">
        <v>1281</v>
      </c>
      <c r="BL236" s="112" t="s">
        <v>1281</v>
      </c>
      <c r="BM236" s="112" t="s">
        <v>1281</v>
      </c>
      <c r="BN236" s="112" t="s">
        <v>1281</v>
      </c>
      <c r="BO236" s="112" t="s">
        <v>1281</v>
      </c>
      <c r="BP236" s="112" t="s">
        <v>1281</v>
      </c>
      <c r="BQ236" s="112" t="s">
        <v>1281</v>
      </c>
      <c r="BR236" s="112" t="s">
        <v>1281</v>
      </c>
      <c r="BS236" s="112" t="s">
        <v>1281</v>
      </c>
      <c r="BT236" s="112" t="s">
        <v>1281</v>
      </c>
      <c r="BU236" s="112" t="s">
        <v>1281</v>
      </c>
      <c r="BV236" s="111">
        <f t="shared" ref="BV236" si="1846">E236</f>
        <v>40</v>
      </c>
      <c r="BW236" s="113" t="str">
        <f t="shared" ref="BW236" si="1847">I236</f>
        <v>-</v>
      </c>
      <c r="BX236" s="114">
        <f t="shared" ref="BX236" si="1848">M236</f>
        <v>73</v>
      </c>
      <c r="BY236" s="113" t="str">
        <f t="shared" ref="BY236" si="1849">Q236</f>
        <v>-</v>
      </c>
      <c r="BZ236" s="114">
        <f t="shared" ref="BZ236" si="1850">U236</f>
        <v>110</v>
      </c>
      <c r="CA236" s="113">
        <f t="shared" ref="CA236" si="1851">Y236</f>
        <v>146</v>
      </c>
      <c r="CB236" s="114">
        <f t="shared" ref="CB236" si="1852">AC236</f>
        <v>154</v>
      </c>
      <c r="CC236" s="113">
        <f t="shared" ref="CC236" si="1853">AG236</f>
        <v>193</v>
      </c>
      <c r="CD236" s="114">
        <f t="shared" ref="CD236" si="1854">AK236</f>
        <v>200</v>
      </c>
      <c r="CE236" s="113">
        <f t="shared" ref="CE236" si="1855">AO236</f>
        <v>261</v>
      </c>
      <c r="CF236" s="114">
        <f t="shared" ref="CF236" si="1856">AS236</f>
        <v>295</v>
      </c>
      <c r="CG236" s="113">
        <f t="shared" ref="CG236" si="1857">AW236</f>
        <v>321</v>
      </c>
      <c r="CH236" s="111">
        <f t="shared" ref="CH236" si="1858">G236</f>
        <v>67</v>
      </c>
      <c r="CI236" s="113" t="str">
        <f t="shared" ref="CI236" si="1859">K236</f>
        <v>-</v>
      </c>
      <c r="CJ236" s="114">
        <f t="shared" ref="CJ236" si="1860">O236</f>
        <v>104</v>
      </c>
      <c r="CK236" s="114" t="str">
        <f t="shared" ref="CK236" si="1861">S236</f>
        <v>-</v>
      </c>
      <c r="CL236" s="114">
        <f t="shared" ref="CL236" si="1862">W236</f>
        <v>145</v>
      </c>
      <c r="CM236" s="114">
        <f t="shared" ref="CM236" si="1863">AA236</f>
        <v>153</v>
      </c>
      <c r="CN236" s="114">
        <f t="shared" ref="CN236" si="1864">AE236</f>
        <v>178</v>
      </c>
      <c r="CO236" s="114">
        <f t="shared" ref="CO236" si="1865">AI236</f>
        <v>195</v>
      </c>
      <c r="CP236" s="114">
        <f t="shared" ref="CP236" si="1866">AM236</f>
        <v>229</v>
      </c>
      <c r="CQ236" s="114">
        <f t="shared" ref="CQ236" si="1867">AQ236</f>
        <v>291</v>
      </c>
      <c r="CR236" s="114">
        <f t="shared" ref="CR236" si="1868">AU236</f>
        <v>320</v>
      </c>
      <c r="CS236" s="114">
        <f t="shared" ref="CS236" si="1869">AY236</f>
        <v>335</v>
      </c>
      <c r="CT236" s="109" t="e">
        <f t="shared" ref="CT236" si="1870">M236-K236</f>
        <v>#VALUE!</v>
      </c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</row>
    <row r="237" spans="1:1029" s="12" customFormat="1" x14ac:dyDescent="0.2">
      <c r="A237" s="9" t="str">
        <f t="shared" ref="A237" si="1871">CONCATENATE(B237,"_",C237)</f>
        <v>gpr52_human_6LI1</v>
      </c>
      <c r="B237" s="9" t="s">
        <v>259</v>
      </c>
      <c r="C237" s="9" t="s">
        <v>1663</v>
      </c>
      <c r="D237" s="9" t="str">
        <f>IFERROR(MID(VLOOKUP($B237,Seqs!$A:$B,2,0),E237,1),"")</f>
        <v>C</v>
      </c>
      <c r="E237" s="9">
        <v>40</v>
      </c>
      <c r="F237" s="9" t="str">
        <f>IFERROR(MID(VLOOKUP($B237,Seqs!$A:$B,2,0),G237,1),"")</f>
        <v>A</v>
      </c>
      <c r="G237" s="9">
        <v>68</v>
      </c>
      <c r="H237" s="9" t="str">
        <f>IFERROR(MID(VLOOKUP($B237,Seqs!$A:$B,2,0),I237,1),"")</f>
        <v/>
      </c>
      <c r="I237" s="109" t="s">
        <v>23</v>
      </c>
      <c r="J237" s="9" t="str">
        <f>IFERROR(MID(VLOOKUP($B237,Seqs!$A:$B,2,0),K237,1),"")</f>
        <v/>
      </c>
      <c r="K237" s="109" t="s">
        <v>23</v>
      </c>
      <c r="L237" s="9" t="str">
        <f>IFERROR(MID(VLOOKUP($B237,Seqs!$A:$B,2,0),M237,1),"")</f>
        <v>H</v>
      </c>
      <c r="M237" s="9">
        <v>73</v>
      </c>
      <c r="N237" s="9" t="str">
        <f>IFERROR(MID(VLOOKUP($B237,Seqs!$A:$B,2,0),O237,1),"")</f>
        <v>H</v>
      </c>
      <c r="O237" s="9">
        <v>103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H</v>
      </c>
      <c r="U237" s="9">
        <v>109</v>
      </c>
      <c r="V237" s="9" t="str">
        <f>IFERROR(MID(VLOOKUP($B237,Seqs!$A:$B,2,0),W237,1),"")</f>
        <v>K</v>
      </c>
      <c r="W237" s="9">
        <v>145</v>
      </c>
      <c r="X237" s="9" t="str">
        <f>IFERROR(MID(VLOOKUP($B237,Seqs!$A:$B,2,0),Y237,1),"")</f>
        <v>P</v>
      </c>
      <c r="Y237" s="9">
        <v>146</v>
      </c>
      <c r="Z237" s="9" t="str">
        <f>IFERROR(MID(VLOOKUP($B237,Seqs!$A:$B,2,0),AA237,1),"")</f>
        <v>V</v>
      </c>
      <c r="AA237" s="9">
        <v>153</v>
      </c>
      <c r="AB237" s="9" t="str">
        <f>IFERROR(MID(VLOOKUP($B237,Seqs!$A:$B,2,0),AC237,1),"")</f>
        <v>T</v>
      </c>
      <c r="AC237" s="9">
        <v>154</v>
      </c>
      <c r="AD237" s="9" t="str">
        <f>IFERROR(MID(VLOOKUP($B237,Seqs!$A:$B,2,0),AE237,1),"")</f>
        <v>F</v>
      </c>
      <c r="AE237" s="9">
        <v>178</v>
      </c>
      <c r="AF237" s="9" t="str">
        <f>IFERROR(MID(VLOOKUP($B237,Seqs!$A:$B,2,0),AG237,1),"")</f>
        <v>C</v>
      </c>
      <c r="AG237" s="9">
        <v>193</v>
      </c>
      <c r="AH237" s="9" t="str">
        <f>IFERROR(MID(VLOOKUP($B237,Seqs!$A:$B,2,0),AI237,1),"")</f>
        <v>T</v>
      </c>
      <c r="AI237" s="9">
        <v>195</v>
      </c>
      <c r="AJ237" s="9" t="str">
        <f>IFERROR(MID(VLOOKUP($B237,Seqs!$A:$B,2,0),AK237,1),"")</f>
        <v>S</v>
      </c>
      <c r="AK237" s="9">
        <v>200</v>
      </c>
      <c r="AL237" s="9" t="str">
        <f>IFERROR(MID(VLOOKUP($B237,Seqs!$A:$B,2,0),AM237,1),"")</f>
        <v>Q</v>
      </c>
      <c r="AM237" s="9">
        <v>232</v>
      </c>
      <c r="AN237" s="9" t="str">
        <f>IFERROR(MID(VLOOKUP($B237,Seqs!$A:$B,2,0),AO237,1),"")</f>
        <v>R</v>
      </c>
      <c r="AO237" s="9">
        <v>261</v>
      </c>
      <c r="AP237" s="9" t="str">
        <f>IFERROR(MID(VLOOKUP($B237,Seqs!$A:$B,2,0),AQ237,1),"")</f>
        <v>S</v>
      </c>
      <c r="AQ237" s="9">
        <v>290</v>
      </c>
      <c r="AR237" s="9" t="str">
        <f>IFERROR(MID(VLOOKUP($B237,Seqs!$A:$B,2,0),AS237,1),"")</f>
        <v>N</v>
      </c>
      <c r="AS237" s="9">
        <v>295</v>
      </c>
      <c r="AT237" s="9" t="str">
        <f>IFERROR(MID(VLOOKUP($B237,Seqs!$A:$B,2,0),AU237,1),"")</f>
        <v>S</v>
      </c>
      <c r="AU237" s="9">
        <v>320</v>
      </c>
      <c r="AV237" s="9" t="str">
        <f>IFERROR(MID(VLOOKUP($B237,Seqs!$A:$B,2,0),AW237,1),"")</f>
        <v>N</v>
      </c>
      <c r="AW237" s="9">
        <v>321</v>
      </c>
      <c r="AX237" s="9" t="str">
        <f>IFERROR(MID(VLOOKUP($B237,Seqs!$A:$B,2,0),AY237,1),"")</f>
        <v>C</v>
      </c>
      <c r="AY237" s="9">
        <v>341</v>
      </c>
      <c r="AZ237" s="110" t="str">
        <f>VLOOKUP(B237,Classification!A:D,2,0)</f>
        <v>A</v>
      </c>
      <c r="BA237" s="98" t="str">
        <f>VLOOKUP(B237,Classification!A:D,4,0)</f>
        <v>ClassAorphans</v>
      </c>
      <c r="BB237" s="36" t="b">
        <f t="shared" ref="BB237" si="1872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09">
        <f t="shared" ref="BC237" si="1873">_xlfn.AGGREGATE(9,6,CH237:CS237)-_xlfn.AGGREGATE(9,6,BV237:CG237)+12</f>
        <v>245</v>
      </c>
      <c r="BD237" s="126" t="s">
        <v>1370</v>
      </c>
      <c r="BE237" s="9" t="s">
        <v>1368</v>
      </c>
      <c r="BF237" s="119">
        <v>2.9</v>
      </c>
      <c r="BG237" s="51" t="s">
        <v>1</v>
      </c>
      <c r="BH237" s="51" t="s">
        <v>1</v>
      </c>
      <c r="BJ237" s="111" t="s">
        <v>1281</v>
      </c>
      <c r="BK237" s="112" t="s">
        <v>1281</v>
      </c>
      <c r="BL237" s="112" t="s">
        <v>1281</v>
      </c>
      <c r="BM237" s="112" t="s">
        <v>1281</v>
      </c>
      <c r="BN237" s="112" t="s">
        <v>1281</v>
      </c>
      <c r="BO237" s="112" t="s">
        <v>1281</v>
      </c>
      <c r="BP237" s="112" t="s">
        <v>1281</v>
      </c>
      <c r="BQ237" s="112" t="s">
        <v>1281</v>
      </c>
      <c r="BR237" s="112" t="s">
        <v>1281</v>
      </c>
      <c r="BS237" s="112" t="s">
        <v>1281</v>
      </c>
      <c r="BT237" s="112" t="s">
        <v>1281</v>
      </c>
      <c r="BU237" s="112" t="s">
        <v>1281</v>
      </c>
      <c r="BV237" s="111">
        <f t="shared" ref="BV237" si="1874">E237</f>
        <v>40</v>
      </c>
      <c r="BW237" s="113" t="str">
        <f t="shared" ref="BW237" si="1875">I237</f>
        <v>-</v>
      </c>
      <c r="BX237" s="114">
        <f t="shared" ref="BX237" si="1876">M237</f>
        <v>73</v>
      </c>
      <c r="BY237" s="113" t="str">
        <f t="shared" ref="BY237" si="1877">Q237</f>
        <v>-</v>
      </c>
      <c r="BZ237" s="114">
        <f t="shared" ref="BZ237" si="1878">U237</f>
        <v>109</v>
      </c>
      <c r="CA237" s="113">
        <f t="shared" ref="CA237" si="1879">Y237</f>
        <v>146</v>
      </c>
      <c r="CB237" s="114">
        <f t="shared" ref="CB237" si="1880">AC237</f>
        <v>154</v>
      </c>
      <c r="CC237" s="113">
        <f t="shared" ref="CC237" si="1881">AG237</f>
        <v>193</v>
      </c>
      <c r="CD237" s="114">
        <f t="shared" ref="CD237" si="1882">AK237</f>
        <v>200</v>
      </c>
      <c r="CE237" s="113">
        <f t="shared" ref="CE237" si="1883">AO237</f>
        <v>261</v>
      </c>
      <c r="CF237" s="114">
        <f t="shared" ref="CF237" si="1884">AS237</f>
        <v>295</v>
      </c>
      <c r="CG237" s="113">
        <f t="shared" ref="CG237" si="1885">AW237</f>
        <v>321</v>
      </c>
      <c r="CH237" s="111">
        <f t="shared" ref="CH237" si="1886">G237</f>
        <v>68</v>
      </c>
      <c r="CI237" s="113" t="str">
        <f t="shared" ref="CI237" si="1887">K237</f>
        <v>-</v>
      </c>
      <c r="CJ237" s="114">
        <f t="shared" ref="CJ237" si="1888">O237</f>
        <v>103</v>
      </c>
      <c r="CK237" s="114" t="str">
        <f t="shared" ref="CK237" si="1889">S237</f>
        <v>-</v>
      </c>
      <c r="CL237" s="114">
        <f t="shared" ref="CL237" si="1890">W237</f>
        <v>145</v>
      </c>
      <c r="CM237" s="114">
        <f t="shared" ref="CM237" si="1891">AA237</f>
        <v>153</v>
      </c>
      <c r="CN237" s="114">
        <f t="shared" ref="CN237" si="1892">AE237</f>
        <v>178</v>
      </c>
      <c r="CO237" s="114">
        <f t="shared" ref="CO237" si="1893">AI237</f>
        <v>195</v>
      </c>
      <c r="CP237" s="114">
        <f t="shared" ref="CP237" si="1894">AM237</f>
        <v>232</v>
      </c>
      <c r="CQ237" s="114">
        <f t="shared" ref="CQ237" si="1895">AQ237</f>
        <v>290</v>
      </c>
      <c r="CR237" s="114">
        <f t="shared" ref="CR237" si="1896">AU237</f>
        <v>320</v>
      </c>
      <c r="CS237" s="114">
        <f t="shared" ref="CS237" si="1897">AY237</f>
        <v>341</v>
      </c>
      <c r="CT237" s="109" t="e">
        <f t="shared" ref="CT237" si="1898">M237-K237</f>
        <v>#VALUE!</v>
      </c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</row>
    <row r="238" spans="1:1029" s="12" customFormat="1" x14ac:dyDescent="0.2">
      <c r="A238" s="9" t="str">
        <f t="shared" ref="A238" si="1899">CONCATENATE(B238,"_",C238)</f>
        <v>gpr52_human_6LI2</v>
      </c>
      <c r="B238" s="9" t="s">
        <v>259</v>
      </c>
      <c r="C238" s="9" t="s">
        <v>1664</v>
      </c>
      <c r="D238" s="9" t="str">
        <f>IFERROR(MID(VLOOKUP($B238,Seqs!$A:$B,2,0),E238,1),"")</f>
        <v>C</v>
      </c>
      <c r="E238" s="9">
        <v>40</v>
      </c>
      <c r="F238" s="9" t="str">
        <f>IFERROR(MID(VLOOKUP($B238,Seqs!$A:$B,2,0),G238,1),"")</f>
        <v>F</v>
      </c>
      <c r="G238" s="9">
        <v>65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75</v>
      </c>
      <c r="N238" s="9" t="str">
        <f>IFERROR(MID(VLOOKUP($B238,Seqs!$A:$B,2,0),O238,1),"")</f>
        <v>H</v>
      </c>
      <c r="O238" s="9">
        <v>103</v>
      </c>
      <c r="P238" s="9" t="str">
        <f>IFERROR(MID(VLOOKUP($B238,Seqs!$A:$B,2,0),Q238,1),"")</f>
        <v/>
      </c>
      <c r="Q238" s="9" t="s">
        <v>23</v>
      </c>
      <c r="R238" s="9" t="str">
        <f>IFERROR(MID(VLOOKUP($B238,Seqs!$A:$B,2,0),S238,1),"")</f>
        <v/>
      </c>
      <c r="S238" s="9" t="s">
        <v>23</v>
      </c>
      <c r="T238" s="9" t="str">
        <f>IFERROR(MID(VLOOKUP($B238,Seqs!$A:$B,2,0),U238,1),"")</f>
        <v>H</v>
      </c>
      <c r="U238" s="9">
        <v>109</v>
      </c>
      <c r="V238" s="9" t="str">
        <f>IFERROR(MID(VLOOKUP($B238,Seqs!$A:$B,2,0),W238,1),"")</f>
        <v>K</v>
      </c>
      <c r="W238" s="9">
        <v>145</v>
      </c>
      <c r="X238" s="9" t="str">
        <f>IFERROR(MID(VLOOKUP($B238,Seqs!$A:$B,2,0),Y238,1),"")</f>
        <v>P</v>
      </c>
      <c r="Y238" s="9">
        <v>146</v>
      </c>
      <c r="Z238" s="9" t="str">
        <f>IFERROR(MID(VLOOKUP($B238,Seqs!$A:$B,2,0),AA238,1),"")</f>
        <v>V</v>
      </c>
      <c r="AA238" s="9">
        <v>153</v>
      </c>
      <c r="AB238" s="9" t="str">
        <f>IFERROR(MID(VLOOKUP($B238,Seqs!$A:$B,2,0),AC238,1),"")</f>
        <v>T</v>
      </c>
      <c r="AC238" s="9">
        <v>154</v>
      </c>
      <c r="AD238" s="9" t="str">
        <f>IFERROR(MID(VLOOKUP($B238,Seqs!$A:$B,2,0),AE238,1),"")</f>
        <v>F</v>
      </c>
      <c r="AE238" s="9">
        <v>178</v>
      </c>
      <c r="AF238" s="9" t="str">
        <f>IFERROR(MID(VLOOKUP($B238,Seqs!$A:$B,2,0),AG238,1),"")</f>
        <v>C</v>
      </c>
      <c r="AG238" s="9">
        <v>193</v>
      </c>
      <c r="AH238" s="9" t="str">
        <f>IFERROR(MID(VLOOKUP($B238,Seqs!$A:$B,2,0),AI238,1),"")</f>
        <v>T</v>
      </c>
      <c r="AI238" s="9">
        <v>195</v>
      </c>
      <c r="AJ238" s="9" t="str">
        <f>IFERROR(MID(VLOOKUP($B238,Seqs!$A:$B,2,0),AK238,1),"")</f>
        <v>S</v>
      </c>
      <c r="AK238" s="9">
        <v>200</v>
      </c>
      <c r="AL238" s="9" t="str">
        <f>IFERROR(MID(VLOOKUP($B238,Seqs!$A:$B,2,0),AM238,1),"")</f>
        <v>H</v>
      </c>
      <c r="AM238" s="9">
        <v>233</v>
      </c>
      <c r="AN238" s="9" t="str">
        <f>IFERROR(MID(VLOOKUP($B238,Seqs!$A:$B,2,0),AO238,1),"")</f>
        <v>Y</v>
      </c>
      <c r="AO238" s="9">
        <v>263</v>
      </c>
      <c r="AP238" s="9" t="str">
        <f>IFERROR(MID(VLOOKUP($B238,Seqs!$A:$B,2,0),AQ238,1),"")</f>
        <v>R</v>
      </c>
      <c r="AQ238" s="9">
        <v>291</v>
      </c>
      <c r="AR238" s="9" t="str">
        <f>IFERROR(MID(VLOOKUP($B238,Seqs!$A:$B,2,0),AS238,1),"")</f>
        <v>N</v>
      </c>
      <c r="AS238" s="9">
        <v>295</v>
      </c>
      <c r="AT238" s="9" t="str">
        <f>IFERROR(MID(VLOOKUP($B238,Seqs!$A:$B,2,0),AU238,1),"")</f>
        <v>S</v>
      </c>
      <c r="AU238" s="9">
        <v>320</v>
      </c>
      <c r="AV238" s="9" t="str">
        <f>IFERROR(MID(VLOOKUP($B238,Seqs!$A:$B,2,0),AW238,1),"")</f>
        <v>N</v>
      </c>
      <c r="AW238" s="9">
        <v>321</v>
      </c>
      <c r="AX238" s="9" t="str">
        <f>IFERROR(MID(VLOOKUP($B238,Seqs!$A:$B,2,0),AY238,1),"")</f>
        <v>M</v>
      </c>
      <c r="AY238" s="9">
        <v>340</v>
      </c>
      <c r="AZ238" s="110" t="str">
        <f>VLOOKUP(B238,Classification!A:D,2,0)</f>
        <v>A</v>
      </c>
      <c r="BA238" s="98" t="str">
        <f>VLOOKUP(B238,Classification!A:D,4,0)</f>
        <v>ClassAorphans</v>
      </c>
      <c r="BB238" s="36" t="b">
        <f t="shared" ref="BB238" si="1900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 t="shared" ref="BC238" si="1901">_xlfn.AGGREGATE(9,6,CH238:CS238)-_xlfn.AGGREGATE(9,6,BV238:CG238)+12</f>
        <v>239</v>
      </c>
      <c r="BD238" s="126" t="s">
        <v>23</v>
      </c>
      <c r="BE238" s="9" t="s">
        <v>1368</v>
      </c>
      <c r="BF238" s="119">
        <v>2.8</v>
      </c>
      <c r="BG238" s="51" t="s">
        <v>1</v>
      </c>
      <c r="BH238" s="51" t="s">
        <v>1</v>
      </c>
      <c r="BJ238" s="111" t="s">
        <v>1281</v>
      </c>
      <c r="BK238" s="112" t="s">
        <v>1281</v>
      </c>
      <c r="BL238" s="112" t="s">
        <v>1281</v>
      </c>
      <c r="BM238" s="112" t="s">
        <v>1281</v>
      </c>
      <c r="BN238" s="112" t="s">
        <v>1281</v>
      </c>
      <c r="BO238" s="112" t="s">
        <v>1281</v>
      </c>
      <c r="BP238" s="112" t="s">
        <v>1281</v>
      </c>
      <c r="BQ238" s="112" t="s">
        <v>1281</v>
      </c>
      <c r="BR238" s="112" t="s">
        <v>1281</v>
      </c>
      <c r="BS238" s="112" t="s">
        <v>1281</v>
      </c>
      <c r="BT238" s="112" t="s">
        <v>1281</v>
      </c>
      <c r="BU238" s="112" t="s">
        <v>1281</v>
      </c>
      <c r="BV238" s="111">
        <f t="shared" ref="BV238" si="1902">E238</f>
        <v>40</v>
      </c>
      <c r="BW238" s="113" t="str">
        <f t="shared" ref="BW238" si="1903">I238</f>
        <v>-</v>
      </c>
      <c r="BX238" s="114">
        <f t="shared" ref="BX238" si="1904">M238</f>
        <v>75</v>
      </c>
      <c r="BY238" s="113" t="str">
        <f t="shared" ref="BY238" si="1905">Q238</f>
        <v>-</v>
      </c>
      <c r="BZ238" s="114">
        <f t="shared" ref="BZ238" si="1906">U238</f>
        <v>109</v>
      </c>
      <c r="CA238" s="113">
        <f t="shared" ref="CA238" si="1907">Y238</f>
        <v>146</v>
      </c>
      <c r="CB238" s="114">
        <f t="shared" ref="CB238" si="1908">AC238</f>
        <v>154</v>
      </c>
      <c r="CC238" s="113">
        <f t="shared" ref="CC238" si="1909">AG238</f>
        <v>193</v>
      </c>
      <c r="CD238" s="114">
        <f t="shared" ref="CD238" si="1910">AK238</f>
        <v>200</v>
      </c>
      <c r="CE238" s="113">
        <f t="shared" ref="CE238" si="1911">AO238</f>
        <v>263</v>
      </c>
      <c r="CF238" s="114">
        <f t="shared" ref="CF238" si="1912">AS238</f>
        <v>295</v>
      </c>
      <c r="CG238" s="113">
        <f t="shared" ref="CG238" si="1913">AW238</f>
        <v>321</v>
      </c>
      <c r="CH238" s="111">
        <f t="shared" ref="CH238" si="1914">G238</f>
        <v>65</v>
      </c>
      <c r="CI238" s="113" t="str">
        <f t="shared" ref="CI238" si="1915">K238</f>
        <v>-</v>
      </c>
      <c r="CJ238" s="114">
        <f t="shared" ref="CJ238" si="1916">O238</f>
        <v>103</v>
      </c>
      <c r="CK238" s="114" t="str">
        <f t="shared" ref="CK238" si="1917">S238</f>
        <v>-</v>
      </c>
      <c r="CL238" s="114">
        <f t="shared" ref="CL238" si="1918">W238</f>
        <v>145</v>
      </c>
      <c r="CM238" s="114">
        <f t="shared" ref="CM238" si="1919">AA238</f>
        <v>153</v>
      </c>
      <c r="CN238" s="114">
        <f t="shared" ref="CN238" si="1920">AE238</f>
        <v>178</v>
      </c>
      <c r="CO238" s="114">
        <f t="shared" ref="CO238" si="1921">AI238</f>
        <v>195</v>
      </c>
      <c r="CP238" s="114">
        <f t="shared" ref="CP238" si="1922">AM238</f>
        <v>233</v>
      </c>
      <c r="CQ238" s="114">
        <f t="shared" ref="CQ238" si="1923">AQ238</f>
        <v>291</v>
      </c>
      <c r="CR238" s="114">
        <f t="shared" ref="CR238" si="1924">AU238</f>
        <v>320</v>
      </c>
      <c r="CS238" s="114">
        <f t="shared" ref="CS238" si="1925">AY238</f>
        <v>340</v>
      </c>
      <c r="CT238" s="109" t="e">
        <f t="shared" ref="CT238" si="1926">M238-K238</f>
        <v>#VALUE!</v>
      </c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</row>
    <row r="239" spans="1:1029" s="12" customFormat="1" x14ac:dyDescent="0.2">
      <c r="A239" s="9" t="str">
        <f t="shared" ref="A239" si="1927">CONCATENATE(B239,"_",C239)</f>
        <v>gpr52_human_6LI3</v>
      </c>
      <c r="B239" s="9" t="s">
        <v>259</v>
      </c>
      <c r="C239" s="9" t="s">
        <v>1665</v>
      </c>
      <c r="D239" s="9" t="str">
        <f>IFERROR(MID(VLOOKUP($B239,Seqs!$A:$B,2,0),E239,1),"")</f>
        <v>V</v>
      </c>
      <c r="E239" s="9">
        <v>37</v>
      </c>
      <c r="F239" s="9" t="str">
        <f>IFERROR(MID(VLOOKUP($B239,Seqs!$A:$B,2,0),G239,1),"")</f>
        <v>A</v>
      </c>
      <c r="G239" s="9">
        <v>68</v>
      </c>
      <c r="H239" s="9" t="str">
        <f>IFERROR(MID(VLOOKUP($B239,Seqs!$A:$B,2,0),I239,1),"")</f>
        <v>P</v>
      </c>
      <c r="I239" s="109">
        <v>69</v>
      </c>
      <c r="J239" s="9" t="str">
        <f>IFERROR(MID(VLOOKUP($B239,Seqs!$A:$B,2,0),K239,1),"")</f>
        <v>H</v>
      </c>
      <c r="K239" s="109">
        <v>73</v>
      </c>
      <c r="L239" s="9" t="str">
        <f>IFERROR(MID(VLOOKUP($B239,Seqs!$A:$B,2,0),M239,1),"")</f>
        <v>Y</v>
      </c>
      <c r="M239" s="9">
        <v>74</v>
      </c>
      <c r="N239" s="9" t="str">
        <f>IFERROR(MID(VLOOKUP($B239,Seqs!$A:$B,2,0),O239,1),"")</f>
        <v>Y</v>
      </c>
      <c r="O239" s="9">
        <v>104</v>
      </c>
      <c r="P239" s="9" t="str">
        <f>IFERROR(MID(VLOOKUP($B239,Seqs!$A:$B,2,0),Q239,1),"")</f>
        <v/>
      </c>
      <c r="Q239" s="9" t="s">
        <v>23</v>
      </c>
      <c r="R239" s="9" t="str">
        <f>IFERROR(MID(VLOOKUP($B239,Seqs!$A:$B,2,0),S239,1),"")</f>
        <v/>
      </c>
      <c r="S239" s="9" t="s">
        <v>23</v>
      </c>
      <c r="T239" s="9" t="str">
        <f>IFERROR(MID(VLOOKUP($B239,Seqs!$A:$B,2,0),U239,1),"")</f>
        <v>V</v>
      </c>
      <c r="U239" s="9">
        <v>108</v>
      </c>
      <c r="V239" s="9" t="str">
        <f>IFERROR(MID(VLOOKUP($B239,Seqs!$A:$B,2,0),W239,1),"")</f>
        <v>K</v>
      </c>
      <c r="W239" s="9">
        <v>145</v>
      </c>
      <c r="X239" s="9" t="str">
        <f>IFERROR(MID(VLOOKUP($B239,Seqs!$A:$B,2,0),Y239,1),"")</f>
        <v>P</v>
      </c>
      <c r="Y239" s="9">
        <v>146</v>
      </c>
      <c r="Z239" s="9" t="str">
        <f>IFERROR(MID(VLOOKUP($B239,Seqs!$A:$B,2,0),AA239,1),"")</f>
        <v>V</v>
      </c>
      <c r="AA239" s="9">
        <v>153</v>
      </c>
      <c r="AB239" s="9" t="str">
        <f>IFERROR(MID(VLOOKUP($B239,Seqs!$A:$B,2,0),AC239,1),"")</f>
        <v>T</v>
      </c>
      <c r="AC239" s="9">
        <v>154</v>
      </c>
      <c r="AD239" s="9" t="str">
        <f>IFERROR(MID(VLOOKUP($B239,Seqs!$A:$B,2,0),AE239,1),"")</f>
        <v>F</v>
      </c>
      <c r="AE239" s="9">
        <v>178</v>
      </c>
      <c r="AF239" s="9" t="str">
        <f>IFERROR(MID(VLOOKUP($B239,Seqs!$A:$B,2,0),AG239,1),"")</f>
        <v>C</v>
      </c>
      <c r="AG239" s="9">
        <v>193</v>
      </c>
      <c r="AH239" s="9" t="str">
        <f>IFERROR(MID(VLOOKUP($B239,Seqs!$A:$B,2,0),AI239,1),"")</f>
        <v>T</v>
      </c>
      <c r="AI239" s="9">
        <v>195</v>
      </c>
      <c r="AJ239" s="9" t="str">
        <f>IFERROR(MID(VLOOKUP($B239,Seqs!$A:$B,2,0),AK239,1),"")</f>
        <v>S</v>
      </c>
      <c r="AK239" s="9">
        <v>200</v>
      </c>
      <c r="AL239" s="9" t="str">
        <f>IFERROR(MID(VLOOKUP($B239,Seqs!$A:$B,2,0),AM239,1),"")</f>
        <v>F</v>
      </c>
      <c r="AM239" s="9">
        <v>244</v>
      </c>
      <c r="AN239" s="9" t="str">
        <f>IFERROR(MID(VLOOKUP($B239,Seqs!$A:$B,2,0),AO239,1),"")</f>
        <v>M</v>
      </c>
      <c r="AO239" s="9">
        <v>265</v>
      </c>
      <c r="AP239" s="9" t="str">
        <f>IFERROR(MID(VLOOKUP($B239,Seqs!$A:$B,2,0),AQ239,1),"")</f>
        <v>S</v>
      </c>
      <c r="AQ239" s="9">
        <v>289</v>
      </c>
      <c r="AR239" s="9" t="str">
        <f>IFERROR(MID(VLOOKUP($B239,Seqs!$A:$B,2,0),AS239,1),"")</f>
        <v>N</v>
      </c>
      <c r="AS239" s="9">
        <v>295</v>
      </c>
      <c r="AT239" s="9" t="str">
        <f>IFERROR(MID(VLOOKUP($B239,Seqs!$A:$B,2,0),AU239,1),"")</f>
        <v>S</v>
      </c>
      <c r="AU239" s="9">
        <v>320</v>
      </c>
      <c r="AV239" s="9" t="str">
        <f>IFERROR(MID(VLOOKUP($B239,Seqs!$A:$B,2,0),AW239,1),"")</f>
        <v>V</v>
      </c>
      <c r="AW239" s="9">
        <v>323</v>
      </c>
      <c r="AX239" s="9" t="str">
        <f>IFERROR(MID(VLOOKUP($B239,Seqs!$A:$B,2,0),AY239,1),"")</f>
        <v>T</v>
      </c>
      <c r="AY239" s="9">
        <v>337</v>
      </c>
      <c r="AZ239" s="110" t="str">
        <f>VLOOKUP(B239,Classification!A:D,2,0)</f>
        <v>A</v>
      </c>
      <c r="BA239" s="98" t="str">
        <f>VLOOKUP(B239,Classification!A:D,4,0)</f>
        <v>ClassAorphans</v>
      </c>
      <c r="BB239" s="36" t="b">
        <f t="shared" ref="BB239" si="1928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9">
        <f t="shared" ref="BC239" si="1929">_xlfn.AGGREGATE(9,6,CH239:CS239)-_xlfn.AGGREGATE(9,6,BV239:CG239)+12</f>
        <v>254</v>
      </c>
      <c r="BD239" s="126" t="s">
        <v>1423</v>
      </c>
      <c r="BE239" s="9" t="s">
        <v>1422</v>
      </c>
      <c r="BF239" s="119">
        <v>3.32</v>
      </c>
      <c r="BG239" s="51" t="s">
        <v>1416</v>
      </c>
      <c r="BH239" s="51" t="s">
        <v>1416</v>
      </c>
      <c r="BJ239" s="111" t="s">
        <v>1281</v>
      </c>
      <c r="BK239" s="112" t="s">
        <v>1281</v>
      </c>
      <c r="BL239" s="112" t="s">
        <v>1281</v>
      </c>
      <c r="BM239" s="112" t="s">
        <v>1281</v>
      </c>
      <c r="BN239" s="112" t="s">
        <v>1281</v>
      </c>
      <c r="BO239" s="112" t="s">
        <v>1281</v>
      </c>
      <c r="BP239" s="112" t="s">
        <v>1281</v>
      </c>
      <c r="BQ239" s="112" t="s">
        <v>1281</v>
      </c>
      <c r="BR239" s="112" t="s">
        <v>1281</v>
      </c>
      <c r="BS239" s="112" t="s">
        <v>1281</v>
      </c>
      <c r="BT239" s="112" t="s">
        <v>1281</v>
      </c>
      <c r="BU239" s="112" t="s">
        <v>1281</v>
      </c>
      <c r="BV239" s="111">
        <f t="shared" ref="BV239" si="1930">E239</f>
        <v>37</v>
      </c>
      <c r="BW239" s="113">
        <f t="shared" ref="BW239" si="1931">I239</f>
        <v>69</v>
      </c>
      <c r="BX239" s="114">
        <f t="shared" ref="BX239" si="1932">M239</f>
        <v>74</v>
      </c>
      <c r="BY239" s="113" t="str">
        <f t="shared" ref="BY239" si="1933">Q239</f>
        <v>-</v>
      </c>
      <c r="BZ239" s="114">
        <f t="shared" ref="BZ239" si="1934">U239</f>
        <v>108</v>
      </c>
      <c r="CA239" s="113">
        <f t="shared" ref="CA239" si="1935">Y239</f>
        <v>146</v>
      </c>
      <c r="CB239" s="114">
        <f t="shared" ref="CB239" si="1936">AC239</f>
        <v>154</v>
      </c>
      <c r="CC239" s="113">
        <f t="shared" ref="CC239" si="1937">AG239</f>
        <v>193</v>
      </c>
      <c r="CD239" s="114">
        <f t="shared" ref="CD239" si="1938">AK239</f>
        <v>200</v>
      </c>
      <c r="CE239" s="113">
        <f t="shared" ref="CE239" si="1939">AO239</f>
        <v>265</v>
      </c>
      <c r="CF239" s="114">
        <f t="shared" ref="CF239" si="1940">AS239</f>
        <v>295</v>
      </c>
      <c r="CG239" s="113">
        <f t="shared" ref="CG239" si="1941">AW239</f>
        <v>323</v>
      </c>
      <c r="CH239" s="111">
        <f t="shared" ref="CH239" si="1942">G239</f>
        <v>68</v>
      </c>
      <c r="CI239" s="113">
        <f t="shared" ref="CI239" si="1943">K239</f>
        <v>73</v>
      </c>
      <c r="CJ239" s="114">
        <f t="shared" ref="CJ239" si="1944">O239</f>
        <v>104</v>
      </c>
      <c r="CK239" s="114" t="str">
        <f t="shared" ref="CK239" si="1945">S239</f>
        <v>-</v>
      </c>
      <c r="CL239" s="114">
        <f t="shared" ref="CL239" si="1946">W239</f>
        <v>145</v>
      </c>
      <c r="CM239" s="114">
        <f t="shared" ref="CM239" si="1947">AA239</f>
        <v>153</v>
      </c>
      <c r="CN239" s="114">
        <f t="shared" ref="CN239" si="1948">AE239</f>
        <v>178</v>
      </c>
      <c r="CO239" s="114">
        <f t="shared" ref="CO239" si="1949">AI239</f>
        <v>195</v>
      </c>
      <c r="CP239" s="114">
        <f t="shared" ref="CP239" si="1950">AM239</f>
        <v>244</v>
      </c>
      <c r="CQ239" s="114">
        <f t="shared" ref="CQ239" si="1951">AQ239</f>
        <v>289</v>
      </c>
      <c r="CR239" s="114">
        <f t="shared" ref="CR239" si="1952">AU239</f>
        <v>320</v>
      </c>
      <c r="CS239" s="114">
        <f t="shared" ref="CS239" si="1953">AY239</f>
        <v>337</v>
      </c>
      <c r="CT239" s="109">
        <f t="shared" ref="CT239" si="1954">M239-K239</f>
        <v>1</v>
      </c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</row>
    <row r="240" spans="1:1029" x14ac:dyDescent="0.2">
      <c r="A240" s="3" t="str">
        <f t="shared" si="1007"/>
        <v>hrh1_human__wt</v>
      </c>
      <c r="B240" s="3" t="s">
        <v>277</v>
      </c>
      <c r="C240" s="3" t="s">
        <v>100</v>
      </c>
      <c r="D240" s="3" t="str">
        <f>IFERROR(MID(VLOOKUP($B240,Seqs!$A:$B,2,0),E240,1),"")</f>
        <v>P</v>
      </c>
      <c r="E240" s="3">
        <v>29</v>
      </c>
      <c r="F240" s="3" t="str">
        <f>IFERROR(MID(VLOOKUP($B240,Seqs!$A:$B,2,0),G240,1),"")</f>
        <v>E</v>
      </c>
      <c r="G240" s="3">
        <v>55</v>
      </c>
      <c r="H240" s="3" t="str">
        <f>IFERROR(MID(VLOOKUP($B240,Seqs!$A:$B,2,0),I240,1),"")</f>
        <v>R</v>
      </c>
      <c r="I240" s="23">
        <v>56</v>
      </c>
      <c r="J240" s="3" t="str">
        <f>IFERROR(MID(VLOOKUP($B240,Seqs!$A:$B,2,0),K240,1),"")</f>
        <v>H</v>
      </c>
      <c r="K240" s="23">
        <v>59</v>
      </c>
      <c r="L240" s="3" t="str">
        <f>IFERROR(MID(VLOOKUP($B240,Seqs!$A:$B,2,0),M240,1),"")</f>
        <v>T</v>
      </c>
      <c r="M240" s="3">
        <v>60</v>
      </c>
      <c r="N240" s="3" t="str">
        <f>IFERROR(MID(VLOOKUP($B240,Seqs!$A:$B,2,0),O240,1),"")</f>
        <v>M</v>
      </c>
      <c r="O240" s="3">
        <v>90</v>
      </c>
      <c r="P240" s="3" t="str">
        <f>IFERROR(MID(VLOOKUP($B240,Seqs!$A:$B,2,0),Q240,1),"")</f>
        <v>K</v>
      </c>
      <c r="Q240" s="3">
        <v>92</v>
      </c>
      <c r="R240" s="3" t="str">
        <f>IFERROR(MID(VLOOKUP($B240,Seqs!$A:$B,2,0),S240,1),"")</f>
        <v>L</v>
      </c>
      <c r="S240" s="3">
        <v>95</v>
      </c>
      <c r="T240" s="3" t="str">
        <f>IFERROR(MID(VLOOKUP($B240,Seqs!$A:$B,2,0),U240,1),"")</f>
        <v>G</v>
      </c>
      <c r="U240" s="3">
        <v>96</v>
      </c>
      <c r="V240" s="3" t="str">
        <f>IFERROR(MID(VLOOKUP($B240,Seqs!$A:$B,2,0),W240,1),"")</f>
        <v>Q</v>
      </c>
      <c r="W240" s="3">
        <v>131</v>
      </c>
      <c r="X240" s="3" t="str">
        <f>IFERROR(MID(VLOOKUP($B240,Seqs!$A:$B,2,0),Y240,1),"")</f>
        <v>P</v>
      </c>
      <c r="Y240" s="3">
        <v>132</v>
      </c>
      <c r="Z240" s="3" t="str">
        <f>IFERROR(MID(VLOOKUP($B240,Seqs!$A:$B,2,0),AA240,1),"")</f>
        <v>R</v>
      </c>
      <c r="AA240" s="3">
        <v>139</v>
      </c>
      <c r="AB240" s="3" t="str">
        <f>IFERROR(MID(VLOOKUP($B240,Seqs!$A:$B,2,0),AC240,1),"")</f>
        <v>T</v>
      </c>
      <c r="AC240" s="9">
        <v>140</v>
      </c>
      <c r="AD240" s="3" t="str">
        <f>IFERROR(MID(VLOOKUP($B240,Seqs!$A:$B,2,0),AE240,1),"")</f>
        <v>G</v>
      </c>
      <c r="AE240" s="3">
        <v>164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T</v>
      </c>
      <c r="AI240" s="3">
        <v>182</v>
      </c>
      <c r="AJ240" s="3" t="str">
        <f>IFERROR(MID(VLOOKUP($B240,Seqs!$A:$B,2,0),AK240,1),"")</f>
        <v>V</v>
      </c>
      <c r="AK240" s="3">
        <v>187</v>
      </c>
      <c r="AL240" s="3" t="str">
        <f>IFERROR(MID(VLOOKUP($B240,Seqs!$A:$B,2,0),AM240,1),"")</f>
        <v>N</v>
      </c>
      <c r="AM240" s="3">
        <v>228</v>
      </c>
      <c r="AN240" s="3" t="str">
        <f>IFERROR(MID(VLOOKUP($B240,Seqs!$A:$B,2,0),AO240,1),"")</f>
        <v>G</v>
      </c>
      <c r="AO240" s="3">
        <v>404</v>
      </c>
      <c r="AP240" s="3" t="str">
        <f>IFERROR(MID(VLOOKUP($B240,Seqs!$A:$B,2,0),AQ240,1),"")</f>
        <v>C</v>
      </c>
      <c r="AQ240" s="3">
        <v>441</v>
      </c>
      <c r="AR240" s="3" t="str">
        <f>IFERROR(MID(VLOOKUP($B240,Seqs!$A:$B,2,0),AS240,1),"")</f>
        <v>N</v>
      </c>
      <c r="AS240" s="3">
        <v>446</v>
      </c>
      <c r="AT240" s="3" t="str">
        <f>IFERROR(MID(VLOOKUP($B240,Seqs!$A:$B,2,0),AU240,1),"")</f>
        <v>C</v>
      </c>
      <c r="AU240" s="3">
        <v>471</v>
      </c>
      <c r="AV240" s="3" t="str">
        <f>IFERROR(MID(VLOOKUP($B240,Seqs!$A:$B,2,0),AW240,1),"")</f>
        <v>N</v>
      </c>
      <c r="AW240" s="3">
        <v>472</v>
      </c>
      <c r="AX240" s="3" t="str">
        <f>IFERROR(MID(VLOOKUP($B240,Seqs!$A:$B,2,0),AY240,1),"")</f>
        <v>H</v>
      </c>
      <c r="AY240" s="3">
        <v>484</v>
      </c>
      <c r="AZ240" s="77" t="str">
        <f>VLOOKUP(B240,Classification!A:D,2,0)</f>
        <v>A</v>
      </c>
      <c r="BA240" s="94" t="str">
        <f>VLOOKUP(B240,Classification!A:D,4,0)</f>
        <v>Histamine</v>
      </c>
      <c r="BB240" s="27" t="b">
        <f t="shared" si="1008"/>
        <v>1</v>
      </c>
      <c r="BC240" s="23">
        <f t="shared" si="1705"/>
        <v>257</v>
      </c>
      <c r="BD240" s="34" t="s">
        <v>23</v>
      </c>
      <c r="BE240" s="3" t="s">
        <v>23</v>
      </c>
      <c r="BF240" s="118" t="s">
        <v>23</v>
      </c>
      <c r="BG240" s="49" t="s">
        <v>1366</v>
      </c>
      <c r="BH240" s="49" t="s">
        <v>1371</v>
      </c>
      <c r="BI240" s="1"/>
      <c r="BJ240" s="70" t="s">
        <v>1281</v>
      </c>
      <c r="BK240" s="57" t="s">
        <v>1281</v>
      </c>
      <c r="BL240" s="57" t="s">
        <v>1281</v>
      </c>
      <c r="BM240" s="57" t="s">
        <v>1281</v>
      </c>
      <c r="BN240" s="57" t="s">
        <v>1281</v>
      </c>
      <c r="BO240" s="57" t="s">
        <v>1281</v>
      </c>
      <c r="BP240" s="57" t="s">
        <v>1281</v>
      </c>
      <c r="BQ240" s="57" t="s">
        <v>1281</v>
      </c>
      <c r="BR240" s="57" t="s">
        <v>1281</v>
      </c>
      <c r="BS240" s="57" t="s">
        <v>1281</v>
      </c>
      <c r="BT240" s="57" t="s">
        <v>1281</v>
      </c>
      <c r="BU240" s="57" t="s">
        <v>1281</v>
      </c>
      <c r="BV240" s="70">
        <f t="shared" si="1706"/>
        <v>29</v>
      </c>
      <c r="BW240" s="71">
        <f t="shared" si="1707"/>
        <v>56</v>
      </c>
      <c r="BX240" s="72">
        <f t="shared" si="1708"/>
        <v>60</v>
      </c>
      <c r="BY240" s="71">
        <f t="shared" si="1709"/>
        <v>92</v>
      </c>
      <c r="BZ240" s="72">
        <f t="shared" si="1710"/>
        <v>96</v>
      </c>
      <c r="CA240" s="71">
        <f t="shared" si="1711"/>
        <v>132</v>
      </c>
      <c r="CB240" s="72">
        <f t="shared" si="1712"/>
        <v>140</v>
      </c>
      <c r="CC240" s="71">
        <f t="shared" si="1713"/>
        <v>180</v>
      </c>
      <c r="CD240" s="72">
        <f t="shared" si="1714"/>
        <v>187</v>
      </c>
      <c r="CE240" s="71">
        <f t="shared" si="1715"/>
        <v>404</v>
      </c>
      <c r="CF240" s="72">
        <f t="shared" si="1716"/>
        <v>446</v>
      </c>
      <c r="CG240" s="71">
        <f t="shared" si="1717"/>
        <v>472</v>
      </c>
      <c r="CH240" s="70">
        <f t="shared" si="1718"/>
        <v>55</v>
      </c>
      <c r="CI240" s="71">
        <f t="shared" si="1719"/>
        <v>59</v>
      </c>
      <c r="CJ240" s="72">
        <f t="shared" si="1720"/>
        <v>90</v>
      </c>
      <c r="CK240" s="72">
        <f t="shared" si="1721"/>
        <v>95</v>
      </c>
      <c r="CL240" s="72">
        <f t="shared" si="1722"/>
        <v>131</v>
      </c>
      <c r="CM240" s="72">
        <f t="shared" si="1723"/>
        <v>139</v>
      </c>
      <c r="CN240" s="72">
        <f t="shared" si="1724"/>
        <v>164</v>
      </c>
      <c r="CO240" s="72">
        <f t="shared" si="1725"/>
        <v>182</v>
      </c>
      <c r="CP240" s="72">
        <f t="shared" si="1726"/>
        <v>228</v>
      </c>
      <c r="CQ240" s="72">
        <f t="shared" si="1727"/>
        <v>441</v>
      </c>
      <c r="CR240" s="72">
        <f t="shared" si="1728"/>
        <v>471</v>
      </c>
      <c r="CS240" s="72">
        <f t="shared" si="1729"/>
        <v>484</v>
      </c>
      <c r="CT240" s="23">
        <f t="shared" si="1730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007"/>
        <v>hrh1_human_3RZE</v>
      </c>
      <c r="B241" s="3" t="s">
        <v>277</v>
      </c>
      <c r="C241" s="3" t="s">
        <v>73</v>
      </c>
      <c r="D241" s="3" t="str">
        <f>IFERROR(MID(VLOOKUP($B241,Seqs!$A:$B,2,0),E241,1),"")</f>
        <v>V</v>
      </c>
      <c r="E241" s="3">
        <v>33</v>
      </c>
      <c r="F241" s="3" t="str">
        <f>IFERROR(MID(VLOOKUP($B241,Seqs!$A:$B,2,0),G241,1),"")</f>
        <v>E</v>
      </c>
      <c r="G241" s="3">
        <v>55</v>
      </c>
      <c r="H241" s="3" t="str">
        <f>IFERROR(MID(VLOOKUP($B241,Seqs!$A:$B,2,0),I241,1),"")</f>
        <v>R</v>
      </c>
      <c r="I241" s="23">
        <v>56</v>
      </c>
      <c r="J241" s="3" t="str">
        <f>IFERROR(MID(VLOOKUP($B241,Seqs!$A:$B,2,0),K241,1),"")</f>
        <v>H</v>
      </c>
      <c r="K241" s="23">
        <v>59</v>
      </c>
      <c r="L241" s="3" t="str">
        <f>IFERROR(MID(VLOOKUP($B241,Seqs!$A:$B,2,0),M241,1),"")</f>
        <v>T</v>
      </c>
      <c r="M241" s="3">
        <v>60</v>
      </c>
      <c r="N241" s="3" t="str">
        <f>IFERROR(MID(VLOOKUP($B241,Seqs!$A:$B,2,0),O241,1),"")</f>
        <v>M</v>
      </c>
      <c r="O241" s="3">
        <v>90</v>
      </c>
      <c r="P241" s="3" t="str">
        <f>IFERROR(MID(VLOOKUP($B241,Seqs!$A:$B,2,0),Q241,1),"")</f>
        <v>K</v>
      </c>
      <c r="Q241" s="3">
        <v>92</v>
      </c>
      <c r="R241" s="3" t="str">
        <f>IFERROR(MID(VLOOKUP($B241,Seqs!$A:$B,2,0),S241,1),"")</f>
        <v>L</v>
      </c>
      <c r="S241" s="3">
        <v>95</v>
      </c>
      <c r="T241" s="3" t="str">
        <f>IFERROR(MID(VLOOKUP($B241,Seqs!$A:$B,2,0),U241,1),"")</f>
        <v>G</v>
      </c>
      <c r="U241" s="3">
        <v>96</v>
      </c>
      <c r="V241" s="3" t="str">
        <f>IFERROR(MID(VLOOKUP($B241,Seqs!$A:$B,2,0),W241,1),"")</f>
        <v>Q</v>
      </c>
      <c r="W241" s="3">
        <v>131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140</v>
      </c>
      <c r="AD241" s="3" t="str">
        <f>IFERROR(MID(VLOOKUP($B241,Seqs!$A:$B,2,0),AE241,1),"")</f>
        <v>G</v>
      </c>
      <c r="AE241" s="3">
        <v>164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T</v>
      </c>
      <c r="AI241" s="3">
        <v>182</v>
      </c>
      <c r="AJ241" s="3" t="str">
        <f>IFERROR(MID(VLOOKUP($B241,Seqs!$A:$B,2,0),AK241,1),"")</f>
        <v>V</v>
      </c>
      <c r="AK241" s="3">
        <v>187</v>
      </c>
      <c r="AL241" s="3" t="str">
        <f>IFERROR(MID(VLOOKUP($B241,Seqs!$A:$B,2,0),AM241,1),"")</f>
        <v>V</v>
      </c>
      <c r="AM241" s="3">
        <v>217</v>
      </c>
      <c r="AN241" s="3" t="str">
        <f>IFERROR(MID(VLOOKUP($B241,Seqs!$A:$B,2,0),AO241,1),"")</f>
        <v>N</v>
      </c>
      <c r="AO241" s="3">
        <v>408</v>
      </c>
      <c r="AP241" s="3" t="str">
        <f>IFERROR(MID(VLOOKUP($B241,Seqs!$A:$B,2,0),AQ241,1),"")</f>
        <v>C</v>
      </c>
      <c r="AQ241" s="3">
        <v>441</v>
      </c>
      <c r="AR241" s="3" t="str">
        <f>IFERROR(MID(VLOOKUP($B241,Seqs!$A:$B,2,0),AS241,1),"")</f>
        <v>N</v>
      </c>
      <c r="AS241" s="3">
        <v>446</v>
      </c>
      <c r="AT241" s="3" t="str">
        <f>IFERROR(MID(VLOOKUP($B241,Seqs!$A:$B,2,0),AU241,1),"")</f>
        <v>C</v>
      </c>
      <c r="AU241" s="3">
        <v>471</v>
      </c>
      <c r="AV241" s="3" t="str">
        <f>IFERROR(MID(VLOOKUP($B241,Seqs!$A:$B,2,0),AW241,1),"")</f>
        <v>N</v>
      </c>
      <c r="AW241" s="3">
        <v>472</v>
      </c>
      <c r="AX241" s="3" t="str">
        <f>IFERROR(MID(VLOOKUP($B241,Seqs!$A:$B,2,0),AY241,1),"")</f>
        <v>H</v>
      </c>
      <c r="AY241" s="3">
        <v>484</v>
      </c>
      <c r="AZ241" s="77" t="str">
        <f>VLOOKUP(B241,Classification!A:D,2,0)</f>
        <v>A</v>
      </c>
      <c r="BA241" s="94" t="str">
        <f>VLOOKUP(B241,Classification!A:D,4,0)</f>
        <v>Histamine</v>
      </c>
      <c r="BB241" s="27" t="b">
        <f t="shared" si="1008"/>
        <v>1</v>
      </c>
      <c r="BC241" s="23">
        <f t="shared" si="1705"/>
        <v>231</v>
      </c>
      <c r="BD241" s="16" t="s">
        <v>1370</v>
      </c>
      <c r="BE241" s="3" t="s">
        <v>1368</v>
      </c>
      <c r="BF241" s="118">
        <v>3.1</v>
      </c>
      <c r="BG241" s="49" t="s">
        <v>1371</v>
      </c>
      <c r="BH241" s="49" t="s">
        <v>1371</v>
      </c>
      <c r="BI241" s="1"/>
      <c r="BJ241" s="70" t="s">
        <v>1281</v>
      </c>
      <c r="BK241" s="57" t="s">
        <v>1281</v>
      </c>
      <c r="BL241" s="57" t="s">
        <v>1281</v>
      </c>
      <c r="BM241" s="57" t="s">
        <v>1281</v>
      </c>
      <c r="BN241" s="57" t="s">
        <v>1281</v>
      </c>
      <c r="BO241" s="57" t="s">
        <v>1281</v>
      </c>
      <c r="BP241" s="57" t="s">
        <v>1281</v>
      </c>
      <c r="BQ241" s="57" t="s">
        <v>1281</v>
      </c>
      <c r="BR241" s="57" t="s">
        <v>1281</v>
      </c>
      <c r="BS241" s="57" t="s">
        <v>1281</v>
      </c>
      <c r="BT241" s="57" t="s">
        <v>1281</v>
      </c>
      <c r="BU241" s="57" t="s">
        <v>1281</v>
      </c>
      <c r="BV241" s="70">
        <f t="shared" si="1706"/>
        <v>33</v>
      </c>
      <c r="BW241" s="71">
        <f t="shared" si="1707"/>
        <v>56</v>
      </c>
      <c r="BX241" s="72">
        <f t="shared" si="1708"/>
        <v>60</v>
      </c>
      <c r="BY241" s="71">
        <f t="shared" si="1709"/>
        <v>92</v>
      </c>
      <c r="BZ241" s="72">
        <f t="shared" si="1710"/>
        <v>96</v>
      </c>
      <c r="CA241" s="71" t="str">
        <f t="shared" si="1711"/>
        <v>-</v>
      </c>
      <c r="CB241" s="72">
        <f t="shared" si="1712"/>
        <v>140</v>
      </c>
      <c r="CC241" s="71">
        <f t="shared" si="1713"/>
        <v>180</v>
      </c>
      <c r="CD241" s="72">
        <f t="shared" si="1714"/>
        <v>187</v>
      </c>
      <c r="CE241" s="71">
        <f t="shared" si="1715"/>
        <v>408</v>
      </c>
      <c r="CF241" s="72">
        <f t="shared" si="1716"/>
        <v>446</v>
      </c>
      <c r="CG241" s="71">
        <f t="shared" si="1717"/>
        <v>472</v>
      </c>
      <c r="CH241" s="70">
        <f t="shared" si="1718"/>
        <v>55</v>
      </c>
      <c r="CI241" s="71">
        <f t="shared" si="1719"/>
        <v>59</v>
      </c>
      <c r="CJ241" s="72">
        <f t="shared" si="1720"/>
        <v>90</v>
      </c>
      <c r="CK241" s="72">
        <f t="shared" si="1721"/>
        <v>95</v>
      </c>
      <c r="CL241" s="72">
        <f t="shared" si="1722"/>
        <v>131</v>
      </c>
      <c r="CM241" s="72" t="str">
        <f t="shared" si="1723"/>
        <v>-</v>
      </c>
      <c r="CN241" s="72">
        <f t="shared" si="1724"/>
        <v>164</v>
      </c>
      <c r="CO241" s="72">
        <f t="shared" si="1725"/>
        <v>182</v>
      </c>
      <c r="CP241" s="72">
        <f t="shared" si="1726"/>
        <v>217</v>
      </c>
      <c r="CQ241" s="72">
        <f t="shared" si="1727"/>
        <v>441</v>
      </c>
      <c r="CR241" s="72">
        <f t="shared" si="1728"/>
        <v>471</v>
      </c>
      <c r="CS241" s="72">
        <f t="shared" si="1729"/>
        <v>484</v>
      </c>
      <c r="CT241" s="23">
        <f t="shared" si="1730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ref="A242:A304" si="1955">CONCATENATE(B242,"_",C242)</f>
        <v>lpar1_human__wt</v>
      </c>
      <c r="B242" s="3" t="s">
        <v>103</v>
      </c>
      <c r="C242" s="3" t="s">
        <v>100</v>
      </c>
      <c r="D242" s="3" t="str">
        <f>IFERROR(MID(VLOOKUP($B242,Seqs!$A:$B,2,0),E242,1),"")</f>
        <v>T</v>
      </c>
      <c r="E242" s="3">
        <v>47</v>
      </c>
      <c r="F242" s="3" t="str">
        <f>IFERROR(MID(VLOOKUP($B242,Seqs!$A:$B,2,0),G242,1),"")</f>
        <v>N</v>
      </c>
      <c r="G242" s="3">
        <v>77</v>
      </c>
      <c r="H242" s="3" t="str">
        <f>IFERROR(MID(VLOOKUP($B242,Seqs!$A:$B,2,0),I242,1),"")</f>
        <v>R</v>
      </c>
      <c r="I242" s="23">
        <v>78</v>
      </c>
      <c r="J242" s="3" t="str">
        <f>IFERROR(MID(VLOOKUP($B242,Seqs!$A:$B,2,0),K242,1),"")</f>
        <v>H</v>
      </c>
      <c r="K242" s="23">
        <v>81</v>
      </c>
      <c r="L242" s="3" t="str">
        <f>IFERROR(MID(VLOOKUP($B242,Seqs!$A:$B,2,0),M242,1),"")</f>
        <v>F</v>
      </c>
      <c r="M242" s="3">
        <v>82</v>
      </c>
      <c r="N242" s="3" t="str">
        <f>IFERROR(MID(VLOOKUP($B242,Seqs!$A:$B,2,0),O242,1),"")</f>
        <v>N</v>
      </c>
      <c r="O242" s="3">
        <v>108</v>
      </c>
      <c r="P242" s="3" t="str">
        <f>IFERROR(MID(VLOOKUP($B242,Seqs!$A:$B,2,0),Q242,1),"")</f>
        <v>G</v>
      </c>
      <c r="Q242" s="3">
        <v>110</v>
      </c>
      <c r="R242" s="3" t="str">
        <f>IFERROR(MID(VLOOKUP($B242,Seqs!$A:$B,2,0),S242,1),"")</f>
        <v>L</v>
      </c>
      <c r="S242" s="3">
        <v>116</v>
      </c>
      <c r="T242" s="3" t="str">
        <f>IFERROR(MID(VLOOKUP($B242,Seqs!$A:$B,2,0),U242,1),"")</f>
        <v>T</v>
      </c>
      <c r="U242" s="3">
        <v>117</v>
      </c>
      <c r="V242" s="3" t="str">
        <f>IFERROR(MID(VLOOKUP($B242,Seqs!$A:$B,2,0),W242,1),"")</f>
        <v>R</v>
      </c>
      <c r="W242" s="3">
        <v>152</v>
      </c>
      <c r="X242" s="3" t="str">
        <f>IFERROR(MID(VLOOKUP($B242,Seqs!$A:$B,2,0),Y242,1),"")</f>
        <v>M</v>
      </c>
      <c r="Y242" s="105">
        <v>153</v>
      </c>
      <c r="Z242" s="3" t="str">
        <f>IFERROR(MID(VLOOKUP($B242,Seqs!$A:$B,2,0),AA242,1),"")</f>
        <v>M</v>
      </c>
      <c r="AA242" s="105">
        <v>159</v>
      </c>
      <c r="AB242" s="3" t="str">
        <f>IFERROR(MID(VLOOKUP($B242,Seqs!$A:$B,2,0),AC242,1),"")</f>
        <v>S</v>
      </c>
      <c r="AC242" s="105">
        <v>160</v>
      </c>
      <c r="AD242" s="3" t="str">
        <f>IFERROR(MID(VLOOKUP($B242,Seqs!$A:$B,2,0),AE242,1),"")</f>
        <v>G</v>
      </c>
      <c r="AE242" s="3">
        <v>185</v>
      </c>
      <c r="AF242" s="3" t="str">
        <f>IFERROR(MID(VLOOKUP($B242,Seqs!$A:$B,2,0),AG242,1),"")</f>
        <v/>
      </c>
      <c r="AG242" s="3" t="s">
        <v>23</v>
      </c>
      <c r="AH242" s="3" t="str">
        <f>IFERROR(MID(VLOOKUP($B242,Seqs!$A:$B,2,0),AI242,1),"")</f>
        <v/>
      </c>
      <c r="AI242" s="3" t="s">
        <v>23</v>
      </c>
      <c r="AJ242" s="3" t="str">
        <f>IFERROR(MID(VLOOKUP($B242,Seqs!$A:$B,2,0),AK242,1),"")</f>
        <v>S</v>
      </c>
      <c r="AK242" s="3">
        <v>203</v>
      </c>
      <c r="AL242" s="3" t="str">
        <f>IFERROR(MID(VLOOKUP($B242,Seqs!$A:$B,2,0),AM242,1),"")</f>
        <v>S</v>
      </c>
      <c r="AM242" s="3">
        <v>240</v>
      </c>
      <c r="AN242" s="3" t="str">
        <f>IFERROR(MID(VLOOKUP($B242,Seqs!$A:$B,2,0),AO242,1),"")</f>
        <v>G</v>
      </c>
      <c r="AO242" s="3">
        <v>245</v>
      </c>
      <c r="AP242" s="3" t="str">
        <f>IFERROR(MID(VLOOKUP($B242,Seqs!$A:$B,2,0),AQ242,1),"")</f>
        <v>C</v>
      </c>
      <c r="AQ242" s="3">
        <v>284</v>
      </c>
      <c r="AR242" s="3" t="str">
        <f>IFERROR(MID(VLOOKUP($B242,Seqs!$A:$B,2,0),AS242,1),"")</f>
        <v>D</v>
      </c>
      <c r="AS242" s="3">
        <v>288</v>
      </c>
      <c r="AT242" s="3" t="str">
        <f>IFERROR(MID(VLOOKUP($B242,Seqs!$A:$B,2,0),AU242,1),"")</f>
        <v>R</v>
      </c>
      <c r="AU242" s="3">
        <v>314</v>
      </c>
      <c r="AV242" s="3" t="str">
        <f>IFERROR(MID(VLOOKUP($B242,Seqs!$A:$B,2,0),AW242,1),"")</f>
        <v>D</v>
      </c>
      <c r="AW242" s="3">
        <v>315</v>
      </c>
      <c r="AX242" s="3" t="str">
        <f>IFERROR(MID(VLOOKUP($B242,Seqs!$A:$B,2,0),AY242,1),"")</f>
        <v>C</v>
      </c>
      <c r="AY242" s="3">
        <v>327</v>
      </c>
      <c r="AZ242" s="77" t="str">
        <f>VLOOKUP(B242,Classification!A:D,2,0)</f>
        <v>A</v>
      </c>
      <c r="BA242" s="94" t="str">
        <f>VLOOKUP(B242,Classification!A:D,4,0)</f>
        <v>Lysophospholipid(LPA)</v>
      </c>
      <c r="BB242" s="27" t="b">
        <f t="shared" ref="BB242:BB304" si="1956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si="1705"/>
        <v>257</v>
      </c>
      <c r="BD242" s="56" t="s">
        <v>23</v>
      </c>
      <c r="BE242" s="3" t="s">
        <v>23</v>
      </c>
      <c r="BF242" s="118" t="s">
        <v>23</v>
      </c>
      <c r="BG242" s="49" t="s">
        <v>1366</v>
      </c>
      <c r="BH242" s="49" t="s">
        <v>1371</v>
      </c>
      <c r="BI242" s="1"/>
      <c r="BJ242" s="70" t="s">
        <v>1281</v>
      </c>
      <c r="BK242" s="57" t="s">
        <v>1281</v>
      </c>
      <c r="BL242" s="57" t="s">
        <v>1281</v>
      </c>
      <c r="BM242" s="57" t="s">
        <v>1281</v>
      </c>
      <c r="BN242" s="57" t="s">
        <v>1281</v>
      </c>
      <c r="BO242" s="57" t="s">
        <v>1281</v>
      </c>
      <c r="BP242" s="57" t="s">
        <v>1281</v>
      </c>
      <c r="BQ242" s="57" t="s">
        <v>1281</v>
      </c>
      <c r="BR242" s="57" t="s">
        <v>1281</v>
      </c>
      <c r="BS242" s="57" t="s">
        <v>1281</v>
      </c>
      <c r="BT242" s="57" t="s">
        <v>1281</v>
      </c>
      <c r="BU242" s="57" t="s">
        <v>1281</v>
      </c>
      <c r="BV242" s="70">
        <f t="shared" si="1706"/>
        <v>47</v>
      </c>
      <c r="BW242" s="71">
        <f t="shared" si="1707"/>
        <v>78</v>
      </c>
      <c r="BX242" s="72">
        <f t="shared" si="1708"/>
        <v>82</v>
      </c>
      <c r="BY242" s="71">
        <f t="shared" si="1709"/>
        <v>110</v>
      </c>
      <c r="BZ242" s="72">
        <f t="shared" si="1710"/>
        <v>117</v>
      </c>
      <c r="CA242" s="71">
        <f t="shared" si="1711"/>
        <v>153</v>
      </c>
      <c r="CB242" s="72">
        <f t="shared" si="1712"/>
        <v>160</v>
      </c>
      <c r="CC242" s="71" t="str">
        <f t="shared" si="1713"/>
        <v>-</v>
      </c>
      <c r="CD242" s="72">
        <f t="shared" si="1714"/>
        <v>203</v>
      </c>
      <c r="CE242" s="71">
        <f t="shared" si="1715"/>
        <v>245</v>
      </c>
      <c r="CF242" s="72">
        <f t="shared" si="1716"/>
        <v>288</v>
      </c>
      <c r="CG242" s="71">
        <f t="shared" si="1717"/>
        <v>315</v>
      </c>
      <c r="CH242" s="70">
        <f t="shared" si="1718"/>
        <v>77</v>
      </c>
      <c r="CI242" s="71">
        <f t="shared" si="1719"/>
        <v>81</v>
      </c>
      <c r="CJ242" s="72">
        <f t="shared" si="1720"/>
        <v>108</v>
      </c>
      <c r="CK242" s="72">
        <f t="shared" si="1721"/>
        <v>116</v>
      </c>
      <c r="CL242" s="72">
        <f t="shared" si="1722"/>
        <v>152</v>
      </c>
      <c r="CM242" s="72">
        <f t="shared" si="1723"/>
        <v>159</v>
      </c>
      <c r="CN242" s="72">
        <f t="shared" si="1724"/>
        <v>185</v>
      </c>
      <c r="CO242" s="72" t="str">
        <f t="shared" si="1725"/>
        <v>-</v>
      </c>
      <c r="CP242" s="72">
        <f t="shared" si="1726"/>
        <v>240</v>
      </c>
      <c r="CQ242" s="72">
        <f t="shared" si="1727"/>
        <v>284</v>
      </c>
      <c r="CR242" s="72">
        <f t="shared" si="1728"/>
        <v>314</v>
      </c>
      <c r="CS242" s="72">
        <f t="shared" si="1729"/>
        <v>327</v>
      </c>
      <c r="CT242" s="23">
        <f t="shared" si="1730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1955"/>
        <v>lpar1_human_4Z34</v>
      </c>
      <c r="B243" s="3" t="s">
        <v>103</v>
      </c>
      <c r="C243" s="3" t="s">
        <v>1050</v>
      </c>
      <c r="D243" s="3" t="str">
        <f>IFERROR(MID(VLOOKUP($B243,Seqs!$A:$B,2,0),E243,1),"")</f>
        <v>T</v>
      </c>
      <c r="E243" s="3">
        <v>47</v>
      </c>
      <c r="F243" s="3" t="str">
        <f>IFERROR(MID(VLOOKUP($B243,Seqs!$A:$B,2,0),G243,1),"")</f>
        <v>N</v>
      </c>
      <c r="G243" s="3">
        <v>77</v>
      </c>
      <c r="H243" s="3" t="str">
        <f>IFERROR(MID(VLOOKUP($B243,Seqs!$A:$B,2,0),I243,1),"")</f>
        <v>R</v>
      </c>
      <c r="I243" s="23">
        <v>78</v>
      </c>
      <c r="J243" s="3" t="str">
        <f>IFERROR(MID(VLOOKUP($B243,Seqs!$A:$B,2,0),K243,1),"")</f>
        <v>H</v>
      </c>
      <c r="K243" s="23">
        <v>81</v>
      </c>
      <c r="L243" s="3" t="str">
        <f>IFERROR(MID(VLOOKUP($B243,Seqs!$A:$B,2,0),M243,1),"")</f>
        <v>F</v>
      </c>
      <c r="M243" s="3">
        <v>82</v>
      </c>
      <c r="N243" s="3" t="str">
        <f>IFERROR(MID(VLOOKUP($B243,Seqs!$A:$B,2,0),O243,1),"")</f>
        <v>N</v>
      </c>
      <c r="O243" s="3">
        <v>108</v>
      </c>
      <c r="P243" s="3" t="str">
        <f>IFERROR(MID(VLOOKUP($B243,Seqs!$A:$B,2,0),Q243,1),"")</f>
        <v>G</v>
      </c>
      <c r="Q243" s="3">
        <v>110</v>
      </c>
      <c r="R243" s="3" t="str">
        <f>IFERROR(MID(VLOOKUP($B243,Seqs!$A:$B,2,0),S243,1),"")</f>
        <v>L</v>
      </c>
      <c r="S243" s="3">
        <v>116</v>
      </c>
      <c r="T243" s="3" t="str">
        <f>IFERROR(MID(VLOOKUP($B243,Seqs!$A:$B,2,0),U243,1),"")</f>
        <v>T</v>
      </c>
      <c r="U243" s="3">
        <v>117</v>
      </c>
      <c r="V243" s="3" t="str">
        <f>IFERROR(MID(VLOOKUP($B243,Seqs!$A:$B,2,0),W243,1),"")</f>
        <v>R</v>
      </c>
      <c r="W243" s="3">
        <v>152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G</v>
      </c>
      <c r="AE243" s="3">
        <v>185</v>
      </c>
      <c r="AF243" s="3" t="str">
        <f>IFERROR(MID(VLOOKUP($B243,Seqs!$A:$B,2,0),AG243,1),"")</f>
        <v/>
      </c>
      <c r="AG243" s="3" t="s">
        <v>23</v>
      </c>
      <c r="AH243" s="3" t="str">
        <f>IFERROR(MID(VLOOKUP($B243,Seqs!$A:$B,2,0),AI243,1),"")</f>
        <v/>
      </c>
      <c r="AI243" s="3" t="s">
        <v>23</v>
      </c>
      <c r="AJ243" s="3" t="str">
        <f>IFERROR(MID(VLOOKUP($B243,Seqs!$A:$B,2,0),AK243,1),"")</f>
        <v>S</v>
      </c>
      <c r="AK243" s="3">
        <v>203</v>
      </c>
      <c r="AL243" s="3" t="str">
        <f>IFERROR(MID(VLOOKUP($B243,Seqs!$A:$B,2,0),AM243,1),"")</f>
        <v>R</v>
      </c>
      <c r="AM243" s="3">
        <v>235</v>
      </c>
      <c r="AN243" s="3" t="str">
        <f>IFERROR(MID(VLOOKUP($B243,Seqs!$A:$B,2,0),AO243,1),"")</f>
        <v>G</v>
      </c>
      <c r="AO243" s="3">
        <v>245</v>
      </c>
      <c r="AP243" s="3" t="str">
        <f>IFERROR(MID(VLOOKUP($B243,Seqs!$A:$B,2,0),AQ243,1),"")</f>
        <v>C</v>
      </c>
      <c r="AQ243" s="3">
        <v>284</v>
      </c>
      <c r="AR243" s="3" t="str">
        <f>IFERROR(MID(VLOOKUP($B243,Seqs!$A:$B,2,0),AS243,1),"")</f>
        <v>E</v>
      </c>
      <c r="AS243" s="3">
        <v>293</v>
      </c>
      <c r="AT243" s="3" t="str">
        <f>IFERROR(MID(VLOOKUP($B243,Seqs!$A:$B,2,0),AU243,1),"")</f>
        <v>R</v>
      </c>
      <c r="AU243" s="3">
        <v>314</v>
      </c>
      <c r="AV243" s="3" t="str">
        <f>IFERROR(MID(VLOOKUP($B243,Seqs!$A:$B,2,0),AW243,1),"")</f>
        <v>D</v>
      </c>
      <c r="AW243" s="3">
        <v>315</v>
      </c>
      <c r="AX243" s="3" t="str">
        <f>IFERROR(MID(VLOOKUP($B243,Seqs!$A:$B,2,0),AY243,1),"")</f>
        <v>C</v>
      </c>
      <c r="AY243" s="3">
        <v>327</v>
      </c>
      <c r="AZ243" s="77" t="str">
        <f>VLOOKUP(B243,Classification!A:D,2,0)</f>
        <v>A</v>
      </c>
      <c r="BA243" s="94" t="str">
        <f>VLOOKUP(B243,Classification!A:D,4,0)</f>
        <v>Lysophospholipid(LPA)</v>
      </c>
      <c r="BB243" s="27" t="b">
        <f t="shared" si="1956"/>
        <v>1</v>
      </c>
      <c r="BC243" s="23">
        <f t="shared" si="1705"/>
        <v>244</v>
      </c>
      <c r="BD243" s="16" t="s">
        <v>23</v>
      </c>
      <c r="BE243" s="3" t="s">
        <v>1368</v>
      </c>
      <c r="BF243" s="118">
        <v>3</v>
      </c>
      <c r="BG243" s="49" t="s">
        <v>1371</v>
      </c>
      <c r="BH243" s="49" t="s">
        <v>1371</v>
      </c>
      <c r="BI243" s="1"/>
      <c r="BJ243" s="70" t="s">
        <v>1281</v>
      </c>
      <c r="BK243" s="57" t="s">
        <v>1281</v>
      </c>
      <c r="BL243" s="57" t="s">
        <v>1281</v>
      </c>
      <c r="BM243" s="57" t="s">
        <v>1281</v>
      </c>
      <c r="BN243" s="57" t="s">
        <v>1281</v>
      </c>
      <c r="BO243" s="57" t="s">
        <v>1281</v>
      </c>
      <c r="BP243" s="57" t="s">
        <v>1281</v>
      </c>
      <c r="BQ243" s="57" t="s">
        <v>1281</v>
      </c>
      <c r="BR243" s="57" t="s">
        <v>1281</v>
      </c>
      <c r="BS243" s="57" t="s">
        <v>1281</v>
      </c>
      <c r="BT243" s="57" t="s">
        <v>1281</v>
      </c>
      <c r="BU243" s="57" t="s">
        <v>1281</v>
      </c>
      <c r="BV243" s="70">
        <f t="shared" si="1706"/>
        <v>47</v>
      </c>
      <c r="BW243" s="71">
        <f t="shared" si="1707"/>
        <v>78</v>
      </c>
      <c r="BX243" s="72">
        <f t="shared" si="1708"/>
        <v>82</v>
      </c>
      <c r="BY243" s="71">
        <f t="shared" si="1709"/>
        <v>110</v>
      </c>
      <c r="BZ243" s="72">
        <f t="shared" si="1710"/>
        <v>117</v>
      </c>
      <c r="CA243" s="71" t="str">
        <f t="shared" si="1711"/>
        <v>-</v>
      </c>
      <c r="CB243" s="72">
        <f t="shared" si="1712"/>
        <v>157</v>
      </c>
      <c r="CC243" s="71" t="str">
        <f t="shared" si="1713"/>
        <v>-</v>
      </c>
      <c r="CD243" s="72">
        <f t="shared" si="1714"/>
        <v>203</v>
      </c>
      <c r="CE243" s="71">
        <f t="shared" si="1715"/>
        <v>245</v>
      </c>
      <c r="CF243" s="72">
        <f t="shared" si="1716"/>
        <v>293</v>
      </c>
      <c r="CG243" s="71">
        <f t="shared" si="1717"/>
        <v>315</v>
      </c>
      <c r="CH243" s="70">
        <f t="shared" si="1718"/>
        <v>77</v>
      </c>
      <c r="CI243" s="71">
        <f t="shared" si="1719"/>
        <v>81</v>
      </c>
      <c r="CJ243" s="72">
        <f t="shared" si="1720"/>
        <v>108</v>
      </c>
      <c r="CK243" s="72">
        <f t="shared" si="1721"/>
        <v>116</v>
      </c>
      <c r="CL243" s="72">
        <f t="shared" si="1722"/>
        <v>152</v>
      </c>
      <c r="CM243" s="72" t="str">
        <f t="shared" si="1723"/>
        <v>-</v>
      </c>
      <c r="CN243" s="72">
        <f t="shared" si="1724"/>
        <v>185</v>
      </c>
      <c r="CO243" s="72" t="str">
        <f t="shared" si="1725"/>
        <v>-</v>
      </c>
      <c r="CP243" s="72">
        <f t="shared" si="1726"/>
        <v>235</v>
      </c>
      <c r="CQ243" s="72">
        <f t="shared" si="1727"/>
        <v>284</v>
      </c>
      <c r="CR243" s="72">
        <f t="shared" si="1728"/>
        <v>314</v>
      </c>
      <c r="CS243" s="72">
        <f t="shared" si="1729"/>
        <v>327</v>
      </c>
      <c r="CT243" s="23">
        <f t="shared" si="1730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1955"/>
        <v>lpar1_human_4Z35</v>
      </c>
      <c r="B244" s="3" t="s">
        <v>103</v>
      </c>
      <c r="C244" s="3" t="s">
        <v>89</v>
      </c>
      <c r="D244" s="3" t="str">
        <f>IFERROR(MID(VLOOKUP($B244,Seqs!$A:$B,2,0),E244,1),"")</f>
        <v>T</v>
      </c>
      <c r="E244" s="3">
        <v>47</v>
      </c>
      <c r="F244" s="3" t="str">
        <f>IFERROR(MID(VLOOKUP($B244,Seqs!$A:$B,2,0),G244,1),"")</f>
        <v>N</v>
      </c>
      <c r="G244" s="3">
        <v>77</v>
      </c>
      <c r="H244" s="3" t="str">
        <f>IFERROR(MID(VLOOKUP($B244,Seqs!$A:$B,2,0),I244,1),"")</f>
        <v>R</v>
      </c>
      <c r="I244" s="23">
        <v>78</v>
      </c>
      <c r="J244" s="3" t="str">
        <f>IFERROR(MID(VLOOKUP($B244,Seqs!$A:$B,2,0),K244,1),"")</f>
        <v>H</v>
      </c>
      <c r="K244" s="23">
        <v>81</v>
      </c>
      <c r="L244" s="3" t="str">
        <f>IFERROR(MID(VLOOKUP($B244,Seqs!$A:$B,2,0),M244,1),"")</f>
        <v>F</v>
      </c>
      <c r="M244" s="3">
        <v>82</v>
      </c>
      <c r="N244" s="3" t="str">
        <f>IFERROR(MID(VLOOKUP($B244,Seqs!$A:$B,2,0),O244,1),"")</f>
        <v>N</v>
      </c>
      <c r="O244" s="3">
        <v>108</v>
      </c>
      <c r="P244" s="3" t="str">
        <f>IFERROR(MID(VLOOKUP($B244,Seqs!$A:$B,2,0),Q244,1),"")</f>
        <v>G</v>
      </c>
      <c r="Q244" s="3">
        <v>110</v>
      </c>
      <c r="R244" s="3" t="str">
        <f>IFERROR(MID(VLOOKUP($B244,Seqs!$A:$B,2,0),S244,1),"")</f>
        <v>L</v>
      </c>
      <c r="S244" s="3">
        <v>116</v>
      </c>
      <c r="T244" s="3" t="str">
        <f>IFERROR(MID(VLOOKUP($B244,Seqs!$A:$B,2,0),U244,1),"")</f>
        <v>T</v>
      </c>
      <c r="U244" s="3">
        <v>117</v>
      </c>
      <c r="V244" s="3" t="str">
        <f>IFERROR(MID(VLOOKUP($B244,Seqs!$A:$B,2,0),W244,1),"")</f>
        <v>R</v>
      </c>
      <c r="W244" s="3">
        <v>152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157</v>
      </c>
      <c r="AD244" s="3" t="str">
        <f>IFERROR(MID(VLOOKUP($B244,Seqs!$A:$B,2,0),AE244,1),"")</f>
        <v>G</v>
      </c>
      <c r="AE244" s="3">
        <v>185</v>
      </c>
      <c r="AF244" s="3" t="str">
        <f>IFERROR(MID(VLOOKUP($B244,Seqs!$A:$B,2,0),AG244,1),"")</f>
        <v/>
      </c>
      <c r="AG244" s="3" t="s">
        <v>23</v>
      </c>
      <c r="AH244" s="3" t="str">
        <f>IFERROR(MID(VLOOKUP($B244,Seqs!$A:$B,2,0),AI244,1),"")</f>
        <v/>
      </c>
      <c r="AI244" s="3" t="s">
        <v>23</v>
      </c>
      <c r="AJ244" s="3" t="str">
        <f>IFERROR(MID(VLOOKUP($B244,Seqs!$A:$B,2,0),AK244,1),"")</f>
        <v>S</v>
      </c>
      <c r="AK244" s="3">
        <v>203</v>
      </c>
      <c r="AL244" s="3" t="str">
        <f>IFERROR(MID(VLOOKUP($B244,Seqs!$A:$B,2,0),AM244,1),"")</f>
        <v>R</v>
      </c>
      <c r="AM244" s="3">
        <v>235</v>
      </c>
      <c r="AN244" s="3" t="str">
        <f>IFERROR(MID(VLOOKUP($B244,Seqs!$A:$B,2,0),AO244,1),"")</f>
        <v>G</v>
      </c>
      <c r="AO244" s="3">
        <v>245</v>
      </c>
      <c r="AP244" s="3" t="str">
        <f>IFERROR(MID(VLOOKUP($B244,Seqs!$A:$B,2,0),AQ244,1),"")</f>
        <v>C</v>
      </c>
      <c r="AQ244" s="3">
        <v>284</v>
      </c>
      <c r="AR244" s="3" t="str">
        <f>IFERROR(MID(VLOOKUP($B244,Seqs!$A:$B,2,0),AS244,1),"")</f>
        <v>E</v>
      </c>
      <c r="AS244" s="3">
        <v>293</v>
      </c>
      <c r="AT244" s="3" t="str">
        <f>IFERROR(MID(VLOOKUP($B244,Seqs!$A:$B,2,0),AU244,1),"")</f>
        <v>R</v>
      </c>
      <c r="AU244" s="3">
        <v>314</v>
      </c>
      <c r="AV244" s="3" t="str">
        <f>IFERROR(MID(VLOOKUP($B244,Seqs!$A:$B,2,0),AW244,1),"")</f>
        <v>D</v>
      </c>
      <c r="AW244" s="3">
        <v>315</v>
      </c>
      <c r="AX244" s="3" t="str">
        <f>IFERROR(MID(VLOOKUP($B244,Seqs!$A:$B,2,0),AY244,1),"")</f>
        <v>C</v>
      </c>
      <c r="AY244" s="3">
        <v>327</v>
      </c>
      <c r="AZ244" s="77" t="str">
        <f>VLOOKUP(B244,Classification!A:D,2,0)</f>
        <v>A</v>
      </c>
      <c r="BA244" s="94" t="str">
        <f>VLOOKUP(B244,Classification!A:D,4,0)</f>
        <v>Lysophospholipid(LPA)</v>
      </c>
      <c r="BB244" s="27" t="b">
        <f t="shared" si="1956"/>
        <v>1</v>
      </c>
      <c r="BC244" s="23">
        <f t="shared" si="1705"/>
        <v>244</v>
      </c>
      <c r="BD244" s="5" t="s">
        <v>1370</v>
      </c>
      <c r="BE244" s="3" t="s">
        <v>1368</v>
      </c>
      <c r="BF244" s="118">
        <v>2.9</v>
      </c>
      <c r="BG244" s="49" t="s">
        <v>1371</v>
      </c>
      <c r="BH244" s="49" t="s">
        <v>1371</v>
      </c>
      <c r="BI244" s="1"/>
      <c r="BJ244" s="70" t="s">
        <v>1281</v>
      </c>
      <c r="BK244" s="57" t="s">
        <v>1281</v>
      </c>
      <c r="BL244" s="57" t="s">
        <v>1281</v>
      </c>
      <c r="BM244" s="57" t="s">
        <v>1281</v>
      </c>
      <c r="BN244" s="57" t="s">
        <v>1281</v>
      </c>
      <c r="BO244" s="57" t="s">
        <v>1281</v>
      </c>
      <c r="BP244" s="57" t="s">
        <v>1281</v>
      </c>
      <c r="BQ244" s="57" t="s">
        <v>1281</v>
      </c>
      <c r="BR244" s="57" t="s">
        <v>1281</v>
      </c>
      <c r="BS244" s="57" t="s">
        <v>1281</v>
      </c>
      <c r="BT244" s="57" t="s">
        <v>1281</v>
      </c>
      <c r="BU244" s="57" t="s">
        <v>1281</v>
      </c>
      <c r="BV244" s="70">
        <f t="shared" si="1706"/>
        <v>47</v>
      </c>
      <c r="BW244" s="71">
        <f t="shared" si="1707"/>
        <v>78</v>
      </c>
      <c r="BX244" s="72">
        <f t="shared" si="1708"/>
        <v>82</v>
      </c>
      <c r="BY244" s="71">
        <f t="shared" si="1709"/>
        <v>110</v>
      </c>
      <c r="BZ244" s="72">
        <f t="shared" si="1710"/>
        <v>117</v>
      </c>
      <c r="CA244" s="71" t="str">
        <f t="shared" si="1711"/>
        <v>-</v>
      </c>
      <c r="CB244" s="72">
        <f t="shared" si="1712"/>
        <v>157</v>
      </c>
      <c r="CC244" s="71" t="str">
        <f t="shared" si="1713"/>
        <v>-</v>
      </c>
      <c r="CD244" s="72">
        <f t="shared" si="1714"/>
        <v>203</v>
      </c>
      <c r="CE244" s="71">
        <f t="shared" si="1715"/>
        <v>245</v>
      </c>
      <c r="CF244" s="72">
        <f t="shared" si="1716"/>
        <v>293</v>
      </c>
      <c r="CG244" s="71">
        <f t="shared" si="1717"/>
        <v>315</v>
      </c>
      <c r="CH244" s="70">
        <f t="shared" si="1718"/>
        <v>77</v>
      </c>
      <c r="CI244" s="71">
        <f t="shared" si="1719"/>
        <v>81</v>
      </c>
      <c r="CJ244" s="72">
        <f t="shared" si="1720"/>
        <v>108</v>
      </c>
      <c r="CK244" s="72">
        <f t="shared" si="1721"/>
        <v>116</v>
      </c>
      <c r="CL244" s="72">
        <f t="shared" si="1722"/>
        <v>152</v>
      </c>
      <c r="CM244" s="72" t="str">
        <f t="shared" si="1723"/>
        <v>-</v>
      </c>
      <c r="CN244" s="72">
        <f t="shared" si="1724"/>
        <v>185</v>
      </c>
      <c r="CO244" s="72" t="str">
        <f t="shared" si="1725"/>
        <v>-</v>
      </c>
      <c r="CP244" s="72">
        <f t="shared" si="1726"/>
        <v>235</v>
      </c>
      <c r="CQ244" s="72">
        <f t="shared" si="1727"/>
        <v>284</v>
      </c>
      <c r="CR244" s="72">
        <f t="shared" si="1728"/>
        <v>314</v>
      </c>
      <c r="CS244" s="72">
        <f t="shared" si="1729"/>
        <v>327</v>
      </c>
      <c r="CT244" s="23">
        <f t="shared" si="1730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1955"/>
        <v>lpar1_human_4Z36</v>
      </c>
      <c r="B245" s="3" t="s">
        <v>103</v>
      </c>
      <c r="C245" s="3" t="s">
        <v>1051</v>
      </c>
      <c r="D245" s="3" t="str">
        <f>IFERROR(MID(VLOOKUP($B245,Seqs!$A:$B,2,0),E245,1),"")</f>
        <v>T</v>
      </c>
      <c r="E245" s="3">
        <v>47</v>
      </c>
      <c r="F245" s="3" t="str">
        <f>IFERROR(MID(VLOOKUP($B245,Seqs!$A:$B,2,0),G245,1),"")</f>
        <v>N</v>
      </c>
      <c r="G245" s="3">
        <v>77</v>
      </c>
      <c r="H245" s="3" t="str">
        <f>IFERROR(MID(VLOOKUP($B245,Seqs!$A:$B,2,0),I245,1),"")</f>
        <v>R</v>
      </c>
      <c r="I245" s="23">
        <v>78</v>
      </c>
      <c r="J245" s="3" t="str">
        <f>IFERROR(MID(VLOOKUP($B245,Seqs!$A:$B,2,0),K245,1),"")</f>
        <v>H</v>
      </c>
      <c r="K245" s="23">
        <v>81</v>
      </c>
      <c r="L245" s="3" t="str">
        <f>IFERROR(MID(VLOOKUP($B245,Seqs!$A:$B,2,0),M245,1),"")</f>
        <v>F</v>
      </c>
      <c r="M245" s="3">
        <v>82</v>
      </c>
      <c r="N245" s="3" t="str">
        <f>IFERROR(MID(VLOOKUP($B245,Seqs!$A:$B,2,0),O245,1),"")</f>
        <v>N</v>
      </c>
      <c r="O245" s="3">
        <v>108</v>
      </c>
      <c r="P245" s="3" t="str">
        <f>IFERROR(MID(VLOOKUP($B245,Seqs!$A:$B,2,0),Q245,1),"")</f>
        <v>G</v>
      </c>
      <c r="Q245" s="3">
        <v>110</v>
      </c>
      <c r="R245" s="3" t="str">
        <f>IFERROR(MID(VLOOKUP($B245,Seqs!$A:$B,2,0),S245,1),"")</f>
        <v>L</v>
      </c>
      <c r="S245" s="3">
        <v>116</v>
      </c>
      <c r="T245" s="3" t="str">
        <f>IFERROR(MID(VLOOKUP($B245,Seqs!$A:$B,2,0),U245,1),"")</f>
        <v>T</v>
      </c>
      <c r="U245" s="3">
        <v>117</v>
      </c>
      <c r="V245" s="3" t="str">
        <f>IFERROR(MID(VLOOKUP($B245,Seqs!$A:$B,2,0),W245,1),"")</f>
        <v>R</v>
      </c>
      <c r="W245" s="3">
        <v>152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157</v>
      </c>
      <c r="AD245" s="3" t="str">
        <f>IFERROR(MID(VLOOKUP($B245,Seqs!$A:$B,2,0),AE245,1),"")</f>
        <v>G</v>
      </c>
      <c r="AE245" s="3">
        <v>185</v>
      </c>
      <c r="AF245" s="3" t="str">
        <f>IFERROR(MID(VLOOKUP($B245,Seqs!$A:$B,2,0),AG245,1),"")</f>
        <v/>
      </c>
      <c r="AG245" s="3" t="s">
        <v>23</v>
      </c>
      <c r="AH245" s="3" t="str">
        <f>IFERROR(MID(VLOOKUP($B245,Seqs!$A:$B,2,0),AI245,1),"")</f>
        <v/>
      </c>
      <c r="AI245" s="3" t="s">
        <v>23</v>
      </c>
      <c r="AJ245" s="3" t="str">
        <f>IFERROR(MID(VLOOKUP($B245,Seqs!$A:$B,2,0),AK245,1),"")</f>
        <v>S</v>
      </c>
      <c r="AK245" s="3">
        <v>203</v>
      </c>
      <c r="AL245" s="3" t="str">
        <f>IFERROR(MID(VLOOKUP($B245,Seqs!$A:$B,2,0),AM245,1),"")</f>
        <v>R</v>
      </c>
      <c r="AM245" s="3">
        <v>235</v>
      </c>
      <c r="AN245" s="3" t="str">
        <f>IFERROR(MID(VLOOKUP($B245,Seqs!$A:$B,2,0),AO245,1),"")</f>
        <v>G</v>
      </c>
      <c r="AO245" s="3">
        <v>245</v>
      </c>
      <c r="AP245" s="3" t="str">
        <f>IFERROR(MID(VLOOKUP($B245,Seqs!$A:$B,2,0),AQ245,1),"")</f>
        <v>C</v>
      </c>
      <c r="AQ245" s="3">
        <v>284</v>
      </c>
      <c r="AR245" s="3" t="str">
        <f>IFERROR(MID(VLOOKUP($B245,Seqs!$A:$B,2,0),AS245,1),"")</f>
        <v>E</v>
      </c>
      <c r="AS245" s="3">
        <v>293</v>
      </c>
      <c r="AT245" s="3" t="str">
        <f>IFERROR(MID(VLOOKUP($B245,Seqs!$A:$B,2,0),AU245,1),"")</f>
        <v>R</v>
      </c>
      <c r="AU245" s="3">
        <v>314</v>
      </c>
      <c r="AV245" s="3" t="str">
        <f>IFERROR(MID(VLOOKUP($B245,Seqs!$A:$B,2,0),AW245,1),"")</f>
        <v>D</v>
      </c>
      <c r="AW245" s="3">
        <v>315</v>
      </c>
      <c r="AX245" s="3" t="str">
        <f>IFERROR(MID(VLOOKUP($B245,Seqs!$A:$B,2,0),AY245,1),"")</f>
        <v>C</v>
      </c>
      <c r="AY245" s="3">
        <v>327</v>
      </c>
      <c r="AZ245" s="77" t="str">
        <f>VLOOKUP(B245,Classification!A:D,2,0)</f>
        <v>A</v>
      </c>
      <c r="BA245" s="94" t="str">
        <f>VLOOKUP(B245,Classification!A:D,4,0)</f>
        <v>Lysophospholipid(LPA)</v>
      </c>
      <c r="BB245" s="27" t="b">
        <f t="shared" si="1956"/>
        <v>1</v>
      </c>
      <c r="BC245" s="23">
        <f t="shared" si="1705"/>
        <v>244</v>
      </c>
      <c r="BD245" s="5" t="s">
        <v>23</v>
      </c>
      <c r="BE245" s="3" t="s">
        <v>1368</v>
      </c>
      <c r="BF245" s="118">
        <v>2.9</v>
      </c>
      <c r="BG245" s="49" t="s">
        <v>1371</v>
      </c>
      <c r="BH245" s="49" t="s">
        <v>1371</v>
      </c>
      <c r="BI245" s="1"/>
      <c r="BJ245" s="70" t="s">
        <v>1281</v>
      </c>
      <c r="BK245" s="57" t="s">
        <v>1281</v>
      </c>
      <c r="BL245" s="57" t="s">
        <v>1281</v>
      </c>
      <c r="BM245" s="57" t="s">
        <v>1281</v>
      </c>
      <c r="BN245" s="57" t="s">
        <v>1281</v>
      </c>
      <c r="BO245" s="57" t="s">
        <v>1281</v>
      </c>
      <c r="BP245" s="57" t="s">
        <v>1281</v>
      </c>
      <c r="BQ245" s="57" t="s">
        <v>1281</v>
      </c>
      <c r="BR245" s="57" t="s">
        <v>1281</v>
      </c>
      <c r="BS245" s="57" t="s">
        <v>1281</v>
      </c>
      <c r="BT245" s="57" t="s">
        <v>1281</v>
      </c>
      <c r="BU245" s="57" t="s">
        <v>1281</v>
      </c>
      <c r="BV245" s="70">
        <f t="shared" si="1706"/>
        <v>47</v>
      </c>
      <c r="BW245" s="71">
        <f t="shared" si="1707"/>
        <v>78</v>
      </c>
      <c r="BX245" s="72">
        <f t="shared" si="1708"/>
        <v>82</v>
      </c>
      <c r="BY245" s="71">
        <f t="shared" si="1709"/>
        <v>110</v>
      </c>
      <c r="BZ245" s="72">
        <f t="shared" si="1710"/>
        <v>117</v>
      </c>
      <c r="CA245" s="71" t="str">
        <f t="shared" si="1711"/>
        <v>-</v>
      </c>
      <c r="CB245" s="72">
        <f t="shared" si="1712"/>
        <v>157</v>
      </c>
      <c r="CC245" s="71" t="str">
        <f t="shared" si="1713"/>
        <v>-</v>
      </c>
      <c r="CD245" s="72">
        <f t="shared" si="1714"/>
        <v>203</v>
      </c>
      <c r="CE245" s="71">
        <f t="shared" si="1715"/>
        <v>245</v>
      </c>
      <c r="CF245" s="72">
        <f t="shared" si="1716"/>
        <v>293</v>
      </c>
      <c r="CG245" s="71">
        <f t="shared" si="1717"/>
        <v>315</v>
      </c>
      <c r="CH245" s="70">
        <f t="shared" si="1718"/>
        <v>77</v>
      </c>
      <c r="CI245" s="71">
        <f t="shared" si="1719"/>
        <v>81</v>
      </c>
      <c r="CJ245" s="72">
        <f t="shared" si="1720"/>
        <v>108</v>
      </c>
      <c r="CK245" s="72">
        <f t="shared" si="1721"/>
        <v>116</v>
      </c>
      <c r="CL245" s="72">
        <f t="shared" si="1722"/>
        <v>152</v>
      </c>
      <c r="CM245" s="72" t="str">
        <f t="shared" si="1723"/>
        <v>-</v>
      </c>
      <c r="CN245" s="72">
        <f t="shared" si="1724"/>
        <v>185</v>
      </c>
      <c r="CO245" s="72" t="str">
        <f t="shared" si="1725"/>
        <v>-</v>
      </c>
      <c r="CP245" s="72">
        <f t="shared" si="1726"/>
        <v>235</v>
      </c>
      <c r="CQ245" s="72">
        <f t="shared" si="1727"/>
        <v>284</v>
      </c>
      <c r="CR245" s="72">
        <f t="shared" si="1728"/>
        <v>314</v>
      </c>
      <c r="CS245" s="72">
        <f t="shared" si="1729"/>
        <v>327</v>
      </c>
      <c r="CT245" s="23">
        <f t="shared" si="1730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ref="A246:A247" si="1957">CONCATENATE(B246,"_",C246)</f>
        <v>mtr1a_human__wt</v>
      </c>
      <c r="B246" s="3" t="s">
        <v>310</v>
      </c>
      <c r="C246" s="3" t="s">
        <v>100</v>
      </c>
      <c r="D246" s="3" t="str">
        <f>IFERROR(MID(VLOOKUP($B246,Seqs!$A:$B,2,0),E246,1),"")</f>
        <v>P</v>
      </c>
      <c r="E246" s="3">
        <v>23</v>
      </c>
      <c r="F246" s="3" t="str">
        <f>IFERROR(MID(VLOOKUP($B246,Seqs!$A:$B,2,0),G246,1),"")</f>
        <v>N</v>
      </c>
      <c r="G246" s="3">
        <v>55</v>
      </c>
      <c r="H246" s="3" t="str">
        <f>IFERROR(MID(VLOOKUP($B246,Seqs!$A:$B,2,0),I246,1),"")</f>
        <v>K</v>
      </c>
      <c r="I246" s="23">
        <v>56</v>
      </c>
      <c r="J246" s="3" t="str">
        <f>IFERROR(MID(VLOOKUP($B246,Seqs!$A:$B,2,0),K246,1),"")</f>
        <v>R</v>
      </c>
      <c r="K246" s="23">
        <v>59</v>
      </c>
      <c r="L246" s="3" t="str">
        <f>IFERROR(MID(VLOOKUP($B246,Seqs!$A:$B,2,0),M246,1),"")</f>
        <v>N</v>
      </c>
      <c r="M246" s="3">
        <v>60</v>
      </c>
      <c r="N246" s="3" t="str">
        <f>IFERROR(MID(VLOOKUP($B246,Seqs!$A:$B,2,0),O246,1),"")</f>
        <v>N</v>
      </c>
      <c r="O246" s="3">
        <v>91</v>
      </c>
      <c r="P246" s="3" t="str">
        <f>IFERROR(MID(VLOOKUP($B246,Seqs!$A:$B,2,0),Q246,1),"")</f>
        <v>G</v>
      </c>
      <c r="Q246" s="3">
        <v>92</v>
      </c>
      <c r="R246" s="3" t="str">
        <f>IFERROR(MID(VLOOKUP($B246,Seqs!$A:$B,2,0),S246,1),"")</f>
        <v>L</v>
      </c>
      <c r="S246" s="3">
        <v>95</v>
      </c>
      <c r="T246" s="3" t="str">
        <f>IFERROR(MID(VLOOKUP($B246,Seqs!$A:$B,2,0),U246,1),"")</f>
        <v>G</v>
      </c>
      <c r="U246" s="3">
        <v>96</v>
      </c>
      <c r="V246" s="3" t="str">
        <f>IFERROR(MID(VLOOKUP($B246,Seqs!$A:$B,2,0),W246,1),"")</f>
        <v>H</v>
      </c>
      <c r="W246" s="3">
        <v>131</v>
      </c>
      <c r="X246" s="3" t="str">
        <f>IFERROR(MID(VLOOKUP($B246,Seqs!$A:$B,2,0),Y246,1),"")</f>
        <v>S</v>
      </c>
      <c r="Y246" s="3">
        <v>132</v>
      </c>
      <c r="Z246" s="3" t="str">
        <f>IFERROR(MID(VLOOKUP($B246,Seqs!$A:$B,2,0),AA246,1),"")</f>
        <v>Y</v>
      </c>
      <c r="AA246" s="3">
        <v>139</v>
      </c>
      <c r="AB246" s="3" t="str">
        <f>IFERROR(MID(VLOOKUP($B246,Seqs!$A:$B,2,0),AC246,1),"")</f>
        <v>S</v>
      </c>
      <c r="AC246" s="3">
        <v>140</v>
      </c>
      <c r="AD246" s="3" t="str">
        <f>IFERROR(MID(VLOOKUP($B246,Seqs!$A:$B,2,0),AE246,1),"")</f>
        <v>G</v>
      </c>
      <c r="AE246" s="3">
        <v>166</v>
      </c>
      <c r="AF246" s="3" t="str">
        <f>IFERROR(MID(VLOOKUP($B246,Seqs!$A:$B,2,0),AG246,1),"")</f>
        <v>C</v>
      </c>
      <c r="AG246" s="3">
        <v>177</v>
      </c>
      <c r="AH246" s="3" t="str">
        <f>IFERROR(MID(VLOOKUP($B246,Seqs!$A:$B,2,0),AI246,1),"")</f>
        <v>F</v>
      </c>
      <c r="AI246" s="3">
        <v>179</v>
      </c>
      <c r="AJ246" s="3" t="str">
        <f>IFERROR(MID(VLOOKUP($B246,Seqs!$A:$B,2,0),AK246,1),"")</f>
        <v>S</v>
      </c>
      <c r="AK246" s="3">
        <v>184</v>
      </c>
      <c r="AL246" s="3" t="str">
        <f>IFERROR(MID(VLOOKUP($B246,Seqs!$A:$B,2,0),AM246,1),"")</f>
        <v>V</v>
      </c>
      <c r="AM246" s="3">
        <v>221</v>
      </c>
      <c r="AN246" s="3" t="str">
        <f>IFERROR(MID(VLOOKUP($B246,Seqs!$A:$B,2,0),AO246,1),"")</f>
        <v>P</v>
      </c>
      <c r="AO246" s="3">
        <v>227</v>
      </c>
      <c r="AP246" s="3" t="str">
        <f>IFERROR(MID(VLOOKUP($B246,Seqs!$A:$B,2,0),AQ246,1),"")</f>
        <v>D</v>
      </c>
      <c r="AQ246" s="3">
        <v>264</v>
      </c>
      <c r="AR246" s="3" t="str">
        <f>IFERROR(MID(VLOOKUP($B246,Seqs!$A:$B,2,0),AS246,1),"")</f>
        <v>P</v>
      </c>
      <c r="AS246" s="3">
        <v>273</v>
      </c>
      <c r="AT246" s="3" t="str">
        <f>IFERROR(MID(VLOOKUP($B246,Seqs!$A:$B,2,0),AU246,1),"")</f>
        <v>L</v>
      </c>
      <c r="AU246" s="3">
        <v>298</v>
      </c>
      <c r="AV246" s="3" t="str">
        <f>IFERROR(MID(VLOOKUP($B246,Seqs!$A:$B,2,0),AW246,1),"")</f>
        <v>N</v>
      </c>
      <c r="AW246" s="3">
        <v>299</v>
      </c>
      <c r="AX246" s="3" t="str">
        <f>IFERROR(MID(VLOOKUP($B246,Seqs!$A:$B,2,0),AY246,1),"")</f>
        <v>T</v>
      </c>
      <c r="AY246" s="3">
        <v>315</v>
      </c>
      <c r="AZ246" s="77" t="str">
        <f>VLOOKUP(B246,Classification!A:D,2,0)</f>
        <v>A</v>
      </c>
      <c r="BA246" s="94" t="str">
        <f>VLOOKUP(B246,Classification!A:D,4,0)</f>
        <v>Melatonin</v>
      </c>
      <c r="BB246" s="27" t="b">
        <f t="shared" ref="BB246:BB247" si="1958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8" si="1959">_xlfn.AGGREGATE(9,6,CH246:CS246)-_xlfn.AGGREGATE(9,6,BV246:CG246)+12</f>
        <v>266</v>
      </c>
      <c r="BD246" s="5" t="s">
        <v>23</v>
      </c>
      <c r="BE246" s="3" t="s">
        <v>23</v>
      </c>
      <c r="BF246" s="118" t="s">
        <v>23</v>
      </c>
      <c r="BG246" s="49" t="s">
        <v>1371</v>
      </c>
      <c r="BH246" s="49" t="s">
        <v>1371</v>
      </c>
      <c r="BI246" s="1"/>
      <c r="BJ246" s="70" t="s">
        <v>1281</v>
      </c>
      <c r="BK246" s="57" t="s">
        <v>1281</v>
      </c>
      <c r="BL246" s="57" t="s">
        <v>1281</v>
      </c>
      <c r="BM246" s="57" t="s">
        <v>1281</v>
      </c>
      <c r="BN246" s="57" t="s">
        <v>1281</v>
      </c>
      <c r="BO246" s="57" t="s">
        <v>1281</v>
      </c>
      <c r="BP246" s="57" t="s">
        <v>1281</v>
      </c>
      <c r="BQ246" s="57" t="s">
        <v>1281</v>
      </c>
      <c r="BR246" s="57" t="s">
        <v>1281</v>
      </c>
      <c r="BS246" s="57" t="s">
        <v>1281</v>
      </c>
      <c r="BT246" s="57" t="s">
        <v>1281</v>
      </c>
      <c r="BU246" s="57" t="s">
        <v>1281</v>
      </c>
      <c r="BV246" s="70">
        <f t="shared" ref="BV246:BV247" si="1960">E246</f>
        <v>23</v>
      </c>
      <c r="BW246" s="71">
        <f t="shared" ref="BW246:BW247" si="1961">I246</f>
        <v>56</v>
      </c>
      <c r="BX246" s="72">
        <f t="shared" ref="BX246:BX247" si="1962">M246</f>
        <v>60</v>
      </c>
      <c r="BY246" s="71">
        <f t="shared" ref="BY246:BY247" si="1963">Q246</f>
        <v>92</v>
      </c>
      <c r="BZ246" s="72">
        <f t="shared" ref="BZ246:BZ247" si="1964">U246</f>
        <v>96</v>
      </c>
      <c r="CA246" s="71">
        <f t="shared" ref="CA246:CA247" si="1965">Y246</f>
        <v>132</v>
      </c>
      <c r="CB246" s="72">
        <f t="shared" ref="CB246:CB247" si="1966">AC246</f>
        <v>140</v>
      </c>
      <c r="CC246" s="71">
        <f t="shared" ref="CC246:CC247" si="1967">AG246</f>
        <v>177</v>
      </c>
      <c r="CD246" s="72">
        <f t="shared" ref="CD246:CD247" si="1968">AK246</f>
        <v>184</v>
      </c>
      <c r="CE246" s="71">
        <f t="shared" ref="CE246:CE247" si="1969">AO246</f>
        <v>227</v>
      </c>
      <c r="CF246" s="72">
        <f t="shared" ref="CF246:CF247" si="1970">AS246</f>
        <v>273</v>
      </c>
      <c r="CG246" s="71">
        <f t="shared" ref="CG246:CG247" si="1971">AW246</f>
        <v>299</v>
      </c>
      <c r="CH246" s="70">
        <f t="shared" ref="CH246:CH247" si="1972">G246</f>
        <v>55</v>
      </c>
      <c r="CI246" s="71">
        <f t="shared" ref="CI246:CI247" si="1973">K246</f>
        <v>59</v>
      </c>
      <c r="CJ246" s="72">
        <f t="shared" ref="CJ246:CJ247" si="1974">O246</f>
        <v>91</v>
      </c>
      <c r="CK246" s="72">
        <f t="shared" ref="CK246:CK247" si="1975">S246</f>
        <v>95</v>
      </c>
      <c r="CL246" s="72">
        <f t="shared" ref="CL246:CL247" si="1976">W246</f>
        <v>131</v>
      </c>
      <c r="CM246" s="72">
        <f t="shared" ref="CM246:CM247" si="1977">AA246</f>
        <v>139</v>
      </c>
      <c r="CN246" s="72">
        <f t="shared" ref="CN246:CN247" si="1978">AE246</f>
        <v>166</v>
      </c>
      <c r="CO246" s="72">
        <f t="shared" ref="CO246:CO247" si="1979">AI246</f>
        <v>179</v>
      </c>
      <c r="CP246" s="72">
        <f t="shared" ref="CP246:CP247" si="1980">AM246</f>
        <v>221</v>
      </c>
      <c r="CQ246" s="72">
        <f t="shared" ref="CQ246:CQ247" si="1981">AQ246</f>
        <v>264</v>
      </c>
      <c r="CR246" s="72">
        <f t="shared" ref="CR246:CR247" si="1982">AU246</f>
        <v>298</v>
      </c>
      <c r="CS246" s="72">
        <f t="shared" ref="CS246:CS247" si="1983">AY246</f>
        <v>315</v>
      </c>
      <c r="CT246" s="23">
        <f t="shared" ref="CT246:CT247" si="1984"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1957"/>
        <v>mtr1a_human_6ME2</v>
      </c>
      <c r="B247" s="3" t="s">
        <v>310</v>
      </c>
      <c r="C247" s="3" t="s">
        <v>1558</v>
      </c>
      <c r="D247" s="3" t="str">
        <f>IFERROR(MID(VLOOKUP($B247,Seqs!$A:$B,2,0),E247,1),"")</f>
        <v>P</v>
      </c>
      <c r="E247" s="3">
        <v>23</v>
      </c>
      <c r="F247" s="3" t="str">
        <f>IFERROR(MID(VLOOKUP($B247,Seqs!$A:$B,2,0),G247,1),"")</f>
        <v>N</v>
      </c>
      <c r="G247" s="3">
        <v>55</v>
      </c>
      <c r="H247" s="3" t="str">
        <f>IFERROR(MID(VLOOKUP($B247,Seqs!$A:$B,2,0),I247,1),"")</f>
        <v>K</v>
      </c>
      <c r="I247" s="23">
        <v>56</v>
      </c>
      <c r="J247" s="3" t="str">
        <f>IFERROR(MID(VLOOKUP($B247,Seqs!$A:$B,2,0),K247,1),"")</f>
        <v>R</v>
      </c>
      <c r="K247" s="23">
        <v>59</v>
      </c>
      <c r="L247" s="3" t="str">
        <f>IFERROR(MID(VLOOKUP($B247,Seqs!$A:$B,2,0),M247,1),"")</f>
        <v>N</v>
      </c>
      <c r="M247" s="3">
        <v>60</v>
      </c>
      <c r="N247" s="3" t="str">
        <f>IFERROR(MID(VLOOKUP($B247,Seqs!$A:$B,2,0),O247,1),"")</f>
        <v>N</v>
      </c>
      <c r="O247" s="3">
        <v>91</v>
      </c>
      <c r="P247" s="3" t="str">
        <f>IFERROR(MID(VLOOKUP($B247,Seqs!$A:$B,2,0),Q247,1),"")</f>
        <v>G</v>
      </c>
      <c r="Q247" s="3">
        <v>92</v>
      </c>
      <c r="R247" s="3" t="str">
        <f>IFERROR(MID(VLOOKUP($B247,Seqs!$A:$B,2,0),S247,1),"")</f>
        <v>L</v>
      </c>
      <c r="S247" s="3">
        <v>95</v>
      </c>
      <c r="T247" s="3" t="str">
        <f>IFERROR(MID(VLOOKUP($B247,Seqs!$A:$B,2,0),U247,1),"")</f>
        <v>G</v>
      </c>
      <c r="U247" s="3">
        <v>96</v>
      </c>
      <c r="V247" s="3" t="str">
        <f>IFERROR(MID(VLOOKUP($B247,Seqs!$A:$B,2,0),W247,1),"")</f>
        <v>Y</v>
      </c>
      <c r="W247" s="3">
        <v>135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3">
        <v>143</v>
      </c>
      <c r="AD247" s="3" t="str">
        <f>IFERROR(MID(VLOOKUP($B247,Seqs!$A:$B,2,0),AE247,1),"")</f>
        <v>G</v>
      </c>
      <c r="AE247" s="3">
        <v>166</v>
      </c>
      <c r="AF247" s="3" t="str">
        <f>IFERROR(MID(VLOOKUP($B247,Seqs!$A:$B,2,0),AG247,1),"")</f>
        <v>C</v>
      </c>
      <c r="AG247" s="3">
        <v>177</v>
      </c>
      <c r="AH247" s="3" t="str">
        <f>IFERROR(MID(VLOOKUP($B247,Seqs!$A:$B,2,0),AI247,1),"")</f>
        <v>F</v>
      </c>
      <c r="AI247" s="3">
        <v>179</v>
      </c>
      <c r="AJ247" s="3" t="str">
        <f>IFERROR(MID(VLOOKUP($B247,Seqs!$A:$B,2,0),AK247,1),"")</f>
        <v>S</v>
      </c>
      <c r="AK247" s="3">
        <v>184</v>
      </c>
      <c r="AL247" s="3" t="str">
        <f>IFERROR(MID(VLOOKUP($B247,Seqs!$A:$B,2,0),AM247,1),"")</f>
        <v>R</v>
      </c>
      <c r="AM247" s="3">
        <v>218</v>
      </c>
      <c r="AN247" s="3" t="str">
        <f>IFERROR(MID(VLOOKUP($B247,Seqs!$A:$B,2,0),AO247,1),"")</f>
        <v>R</v>
      </c>
      <c r="AO247" s="3">
        <v>235</v>
      </c>
      <c r="AP247" s="3" t="str">
        <f>IFERROR(MID(VLOOKUP($B247,Seqs!$A:$B,2,0),AQ247,1),"")</f>
        <v>D</v>
      </c>
      <c r="AQ247" s="3">
        <v>264</v>
      </c>
      <c r="AR247" s="3" t="str">
        <f>IFERROR(MID(VLOOKUP($B247,Seqs!$A:$B,2,0),AS247,1),"")</f>
        <v>P</v>
      </c>
      <c r="AS247" s="3">
        <v>273</v>
      </c>
      <c r="AT247" s="3" t="str">
        <f>IFERROR(MID(VLOOKUP($B247,Seqs!$A:$B,2,0),AU247,1),"")</f>
        <v>L</v>
      </c>
      <c r="AU247" s="3">
        <v>298</v>
      </c>
      <c r="AV247" s="3" t="str">
        <f>IFERROR(MID(VLOOKUP($B247,Seqs!$A:$B,2,0),AW247,1),"")</f>
        <v>N</v>
      </c>
      <c r="AW247" s="3">
        <v>299</v>
      </c>
      <c r="AX247" s="3" t="str">
        <f>IFERROR(MID(VLOOKUP($B247,Seqs!$A:$B,2,0),AY247,1),"")</f>
        <v>T</v>
      </c>
      <c r="AY247" s="3">
        <v>315</v>
      </c>
      <c r="AZ247" s="77" t="str">
        <f>VLOOKUP(B247,Classification!A:D,2,0)</f>
        <v>A</v>
      </c>
      <c r="BA247" s="94" t="str">
        <f>VLOOKUP(B247,Classification!A:D,4,0)</f>
        <v>Melatonin</v>
      </c>
      <c r="BB247" s="27" t="b">
        <f t="shared" si="1958"/>
        <v>1</v>
      </c>
      <c r="BC247" s="23">
        <f t="shared" si="1959"/>
        <v>249</v>
      </c>
      <c r="BD247" s="5" t="s">
        <v>1370</v>
      </c>
      <c r="BE247" s="3" t="s">
        <v>1368</v>
      </c>
      <c r="BF247" s="118">
        <v>2.8</v>
      </c>
      <c r="BG247" s="49" t="s">
        <v>1</v>
      </c>
      <c r="BH247" s="49" t="s">
        <v>1</v>
      </c>
      <c r="BI247" s="1"/>
      <c r="BJ247" s="70" t="s">
        <v>1281</v>
      </c>
      <c r="BK247" s="57" t="s">
        <v>1281</v>
      </c>
      <c r="BL247" s="57" t="s">
        <v>1281</v>
      </c>
      <c r="BM247" s="57" t="s">
        <v>1281</v>
      </c>
      <c r="BN247" s="57" t="s">
        <v>1281</v>
      </c>
      <c r="BO247" s="57" t="s">
        <v>1281</v>
      </c>
      <c r="BP247" s="57" t="s">
        <v>1281</v>
      </c>
      <c r="BQ247" s="57" t="s">
        <v>1281</v>
      </c>
      <c r="BR247" s="57" t="s">
        <v>1281</v>
      </c>
      <c r="BS247" s="57" t="s">
        <v>1281</v>
      </c>
      <c r="BT247" s="57" t="s">
        <v>1281</v>
      </c>
      <c r="BU247" s="57" t="s">
        <v>1281</v>
      </c>
      <c r="BV247" s="70">
        <f t="shared" si="1960"/>
        <v>23</v>
      </c>
      <c r="BW247" s="71">
        <f t="shared" si="1961"/>
        <v>56</v>
      </c>
      <c r="BX247" s="72">
        <f t="shared" si="1962"/>
        <v>60</v>
      </c>
      <c r="BY247" s="71">
        <f t="shared" si="1963"/>
        <v>92</v>
      </c>
      <c r="BZ247" s="72">
        <f t="shared" si="1964"/>
        <v>96</v>
      </c>
      <c r="CA247" s="71" t="str">
        <f t="shared" si="1965"/>
        <v>-</v>
      </c>
      <c r="CB247" s="72">
        <f t="shared" si="1966"/>
        <v>143</v>
      </c>
      <c r="CC247" s="71">
        <f t="shared" si="1967"/>
        <v>177</v>
      </c>
      <c r="CD247" s="72">
        <f t="shared" si="1968"/>
        <v>184</v>
      </c>
      <c r="CE247" s="71">
        <f t="shared" si="1969"/>
        <v>235</v>
      </c>
      <c r="CF247" s="72">
        <f t="shared" si="1970"/>
        <v>273</v>
      </c>
      <c r="CG247" s="71">
        <f t="shared" si="1971"/>
        <v>299</v>
      </c>
      <c r="CH247" s="70">
        <f t="shared" si="1972"/>
        <v>55</v>
      </c>
      <c r="CI247" s="71">
        <f t="shared" si="1973"/>
        <v>59</v>
      </c>
      <c r="CJ247" s="72">
        <f t="shared" si="1974"/>
        <v>91</v>
      </c>
      <c r="CK247" s="72">
        <f t="shared" si="1975"/>
        <v>95</v>
      </c>
      <c r="CL247" s="72">
        <f t="shared" si="1976"/>
        <v>135</v>
      </c>
      <c r="CM247" s="72" t="str">
        <f t="shared" si="1977"/>
        <v>-</v>
      </c>
      <c r="CN247" s="72">
        <f t="shared" si="1978"/>
        <v>166</v>
      </c>
      <c r="CO247" s="72">
        <f t="shared" si="1979"/>
        <v>179</v>
      </c>
      <c r="CP247" s="72">
        <f t="shared" si="1980"/>
        <v>218</v>
      </c>
      <c r="CQ247" s="72">
        <f t="shared" si="1981"/>
        <v>264</v>
      </c>
      <c r="CR247" s="72">
        <f t="shared" si="1982"/>
        <v>298</v>
      </c>
      <c r="CS247" s="72">
        <f t="shared" si="1983"/>
        <v>315</v>
      </c>
      <c r="CT247" s="23">
        <f t="shared" si="1984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ref="A248" si="1985">CONCATENATE(B248,"_",C248)</f>
        <v>mtr1a_human_6ME3</v>
      </c>
      <c r="B248" s="3" t="s">
        <v>310</v>
      </c>
      <c r="C248" s="3" t="s">
        <v>1559</v>
      </c>
      <c r="D248" s="3" t="str">
        <f>IFERROR(MID(VLOOKUP($B248,Seqs!$A:$B,2,0),E248,1),"")</f>
        <v>P</v>
      </c>
      <c r="E248" s="3">
        <v>23</v>
      </c>
      <c r="F248" s="3" t="str">
        <f>IFERROR(MID(VLOOKUP($B248,Seqs!$A:$B,2,0),G248,1),"")</f>
        <v>N</v>
      </c>
      <c r="G248" s="3">
        <v>55</v>
      </c>
      <c r="H248" s="3" t="str">
        <f>IFERROR(MID(VLOOKUP($B248,Seqs!$A:$B,2,0),I248,1),"")</f>
        <v>K</v>
      </c>
      <c r="I248" s="23">
        <v>56</v>
      </c>
      <c r="J248" s="3" t="str">
        <f>IFERROR(MID(VLOOKUP($B248,Seqs!$A:$B,2,0),K248,1),"")</f>
        <v>R</v>
      </c>
      <c r="K248" s="23">
        <v>59</v>
      </c>
      <c r="L248" s="3" t="str">
        <f>IFERROR(MID(VLOOKUP($B248,Seqs!$A:$B,2,0),M248,1),"")</f>
        <v>N</v>
      </c>
      <c r="M248" s="3">
        <v>60</v>
      </c>
      <c r="N248" s="3" t="str">
        <f>IFERROR(MID(VLOOKUP($B248,Seqs!$A:$B,2,0),O248,1),"")</f>
        <v>N</v>
      </c>
      <c r="O248" s="3">
        <v>91</v>
      </c>
      <c r="P248" s="3" t="str">
        <f>IFERROR(MID(VLOOKUP($B248,Seqs!$A:$B,2,0),Q248,1),"")</f>
        <v>G</v>
      </c>
      <c r="Q248" s="3">
        <v>92</v>
      </c>
      <c r="R248" s="3" t="str">
        <f>IFERROR(MID(VLOOKUP($B248,Seqs!$A:$B,2,0),S248,1),"")</f>
        <v>L</v>
      </c>
      <c r="S248" s="3">
        <v>95</v>
      </c>
      <c r="T248" s="3" t="str">
        <f>IFERROR(MID(VLOOKUP($B248,Seqs!$A:$B,2,0),U248,1),"")</f>
        <v>G</v>
      </c>
      <c r="U248" s="3">
        <v>96</v>
      </c>
      <c r="V248" s="3" t="str">
        <f>IFERROR(MID(VLOOKUP($B248,Seqs!$A:$B,2,0),W248,1),"")</f>
        <v>Y</v>
      </c>
      <c r="W248" s="3">
        <v>135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3">
        <v>143</v>
      </c>
      <c r="AD248" s="3" t="str">
        <f>IFERROR(MID(VLOOKUP($B248,Seqs!$A:$B,2,0),AE248,1),"")</f>
        <v>G</v>
      </c>
      <c r="AE248" s="3">
        <v>166</v>
      </c>
      <c r="AF248" s="3" t="str">
        <f>IFERROR(MID(VLOOKUP($B248,Seqs!$A:$B,2,0),AG248,1),"")</f>
        <v>C</v>
      </c>
      <c r="AG248" s="3">
        <v>177</v>
      </c>
      <c r="AH248" s="3" t="str">
        <f>IFERROR(MID(VLOOKUP($B248,Seqs!$A:$B,2,0),AI248,1),"")</f>
        <v>F</v>
      </c>
      <c r="AI248" s="3">
        <v>179</v>
      </c>
      <c r="AJ248" s="3" t="str">
        <f>IFERROR(MID(VLOOKUP($B248,Seqs!$A:$B,2,0),AK248,1),"")</f>
        <v>S</v>
      </c>
      <c r="AK248" s="3">
        <v>184</v>
      </c>
      <c r="AL248" s="3" t="str">
        <f>IFERROR(MID(VLOOKUP($B248,Seqs!$A:$B,2,0),AM248,1),"")</f>
        <v>R</v>
      </c>
      <c r="AM248" s="3">
        <v>218</v>
      </c>
      <c r="AN248" s="3" t="str">
        <f>IFERROR(MID(VLOOKUP($B248,Seqs!$A:$B,2,0),AO248,1),"")</f>
        <v>R</v>
      </c>
      <c r="AO248" s="3">
        <v>235</v>
      </c>
      <c r="AP248" s="3" t="str">
        <f>IFERROR(MID(VLOOKUP($B248,Seqs!$A:$B,2,0),AQ248,1),"")</f>
        <v>D</v>
      </c>
      <c r="AQ248" s="3">
        <v>264</v>
      </c>
      <c r="AR248" s="3" t="str">
        <f>IFERROR(MID(VLOOKUP($B248,Seqs!$A:$B,2,0),AS248,1),"")</f>
        <v>P</v>
      </c>
      <c r="AS248" s="3">
        <v>273</v>
      </c>
      <c r="AT248" s="3" t="str">
        <f>IFERROR(MID(VLOOKUP($B248,Seqs!$A:$B,2,0),AU248,1),"")</f>
        <v>L</v>
      </c>
      <c r="AU248" s="3">
        <v>298</v>
      </c>
      <c r="AV248" s="3" t="str">
        <f>IFERROR(MID(VLOOKUP($B248,Seqs!$A:$B,2,0),AW248,1),"")</f>
        <v>N</v>
      </c>
      <c r="AW248" s="3">
        <v>299</v>
      </c>
      <c r="AX248" s="3" t="str">
        <f>IFERROR(MID(VLOOKUP($B248,Seqs!$A:$B,2,0),AY248,1),"")</f>
        <v>T</v>
      </c>
      <c r="AY248" s="3">
        <v>315</v>
      </c>
      <c r="AZ248" s="77" t="str">
        <f>VLOOKUP(B248,Classification!A:D,2,0)</f>
        <v>A</v>
      </c>
      <c r="BA248" s="94" t="str">
        <f>VLOOKUP(B248,Classification!A:D,4,0)</f>
        <v>Melatonin</v>
      </c>
      <c r="BB248" s="27" t="b">
        <f t="shared" ref="BB248" si="1986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si="1959"/>
        <v>249</v>
      </c>
      <c r="BD248" s="5" t="s">
        <v>23</v>
      </c>
      <c r="BE248" s="3" t="s">
        <v>1368</v>
      </c>
      <c r="BF248" s="118">
        <v>2.9</v>
      </c>
      <c r="BG248" s="49" t="s">
        <v>1</v>
      </c>
      <c r="BH248" s="49" t="s">
        <v>1</v>
      </c>
      <c r="BI248" s="1"/>
      <c r="BJ248" s="70" t="s">
        <v>1281</v>
      </c>
      <c r="BK248" s="57" t="s">
        <v>1281</v>
      </c>
      <c r="BL248" s="57" t="s">
        <v>1281</v>
      </c>
      <c r="BM248" s="57" t="s">
        <v>1281</v>
      </c>
      <c r="BN248" s="57" t="s">
        <v>1281</v>
      </c>
      <c r="BO248" s="57" t="s">
        <v>1281</v>
      </c>
      <c r="BP248" s="57" t="s">
        <v>1281</v>
      </c>
      <c r="BQ248" s="57" t="s">
        <v>1281</v>
      </c>
      <c r="BR248" s="57" t="s">
        <v>1281</v>
      </c>
      <c r="BS248" s="57" t="s">
        <v>1281</v>
      </c>
      <c r="BT248" s="57" t="s">
        <v>1281</v>
      </c>
      <c r="BU248" s="57" t="s">
        <v>1281</v>
      </c>
      <c r="BV248" s="70">
        <f t="shared" ref="BV248" si="1987">E248</f>
        <v>23</v>
      </c>
      <c r="BW248" s="71">
        <f t="shared" ref="BW248" si="1988">I248</f>
        <v>56</v>
      </c>
      <c r="BX248" s="72">
        <f t="shared" ref="BX248" si="1989">M248</f>
        <v>60</v>
      </c>
      <c r="BY248" s="71">
        <f t="shared" ref="BY248" si="1990">Q248</f>
        <v>92</v>
      </c>
      <c r="BZ248" s="72">
        <f t="shared" ref="BZ248" si="1991">U248</f>
        <v>96</v>
      </c>
      <c r="CA248" s="71" t="str">
        <f t="shared" ref="CA248" si="1992">Y248</f>
        <v>-</v>
      </c>
      <c r="CB248" s="72">
        <f t="shared" ref="CB248" si="1993">AC248</f>
        <v>143</v>
      </c>
      <c r="CC248" s="71">
        <f t="shared" ref="CC248" si="1994">AG248</f>
        <v>177</v>
      </c>
      <c r="CD248" s="72">
        <f t="shared" ref="CD248" si="1995">AK248</f>
        <v>184</v>
      </c>
      <c r="CE248" s="71">
        <f t="shared" ref="CE248" si="1996">AO248</f>
        <v>235</v>
      </c>
      <c r="CF248" s="72">
        <f t="shared" ref="CF248" si="1997">AS248</f>
        <v>273</v>
      </c>
      <c r="CG248" s="71">
        <f t="shared" ref="CG248" si="1998">AW248</f>
        <v>299</v>
      </c>
      <c r="CH248" s="70">
        <f t="shared" ref="CH248" si="1999">G248</f>
        <v>55</v>
      </c>
      <c r="CI248" s="71">
        <f t="shared" ref="CI248" si="2000">K248</f>
        <v>59</v>
      </c>
      <c r="CJ248" s="72">
        <f t="shared" ref="CJ248" si="2001">O248</f>
        <v>91</v>
      </c>
      <c r="CK248" s="72">
        <f t="shared" ref="CK248" si="2002">S248</f>
        <v>95</v>
      </c>
      <c r="CL248" s="72">
        <f t="shared" ref="CL248" si="2003">W248</f>
        <v>135</v>
      </c>
      <c r="CM248" s="72" t="str">
        <f t="shared" ref="CM248" si="2004">AA248</f>
        <v>-</v>
      </c>
      <c r="CN248" s="72">
        <f t="shared" ref="CN248" si="2005">AE248</f>
        <v>166</v>
      </c>
      <c r="CO248" s="72">
        <f t="shared" ref="CO248" si="2006">AI248</f>
        <v>179</v>
      </c>
      <c r="CP248" s="72">
        <f t="shared" ref="CP248" si="2007">AM248</f>
        <v>218</v>
      </c>
      <c r="CQ248" s="72">
        <f t="shared" ref="CQ248" si="2008">AQ248</f>
        <v>264</v>
      </c>
      <c r="CR248" s="72">
        <f t="shared" ref="CR248" si="2009">AU248</f>
        <v>298</v>
      </c>
      <c r="CS248" s="72">
        <f t="shared" ref="CS248" si="2010">AY248</f>
        <v>315</v>
      </c>
      <c r="CT248" s="23">
        <f t="shared" ref="CT248" si="2011"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ref="A249" si="2012">CONCATENATE(B249,"_",C249)</f>
        <v>mtr1a_human_6ME4</v>
      </c>
      <c r="B249" s="3" t="s">
        <v>310</v>
      </c>
      <c r="C249" s="3" t="s">
        <v>1560</v>
      </c>
      <c r="D249" s="3" t="str">
        <f>IFERROR(MID(VLOOKUP($B249,Seqs!$A:$B,2,0),E249,1),"")</f>
        <v>P</v>
      </c>
      <c r="E249" s="3">
        <v>23</v>
      </c>
      <c r="F249" s="3" t="str">
        <f>IFERROR(MID(VLOOKUP($B249,Seqs!$A:$B,2,0),G249,1),"")</f>
        <v>N</v>
      </c>
      <c r="G249" s="3">
        <v>55</v>
      </c>
      <c r="H249" s="3" t="str">
        <f>IFERROR(MID(VLOOKUP($B249,Seqs!$A:$B,2,0),I249,1),"")</f>
        <v>K</v>
      </c>
      <c r="I249" s="23">
        <v>56</v>
      </c>
      <c r="J249" s="3" t="str">
        <f>IFERROR(MID(VLOOKUP($B249,Seqs!$A:$B,2,0),K249,1),"")</f>
        <v>R</v>
      </c>
      <c r="K249" s="23">
        <v>59</v>
      </c>
      <c r="L249" s="3" t="str">
        <f>IFERROR(MID(VLOOKUP($B249,Seqs!$A:$B,2,0),M249,1),"")</f>
        <v>N</v>
      </c>
      <c r="M249" s="3">
        <v>60</v>
      </c>
      <c r="N249" s="3" t="str">
        <f>IFERROR(MID(VLOOKUP($B249,Seqs!$A:$B,2,0),O249,1),"")</f>
        <v>N</v>
      </c>
      <c r="O249" s="3">
        <v>91</v>
      </c>
      <c r="P249" s="3" t="str">
        <f>IFERROR(MID(VLOOKUP($B249,Seqs!$A:$B,2,0),Q249,1),"")</f>
        <v>G</v>
      </c>
      <c r="Q249" s="3">
        <v>92</v>
      </c>
      <c r="R249" s="3" t="str">
        <f>IFERROR(MID(VLOOKUP($B249,Seqs!$A:$B,2,0),S249,1),"")</f>
        <v>L</v>
      </c>
      <c r="S249" s="3">
        <v>95</v>
      </c>
      <c r="T249" s="3" t="str">
        <f>IFERROR(MID(VLOOKUP($B249,Seqs!$A:$B,2,0),U249,1),"")</f>
        <v>G</v>
      </c>
      <c r="U249" s="3">
        <v>96</v>
      </c>
      <c r="V249" s="3" t="str">
        <f>IFERROR(MID(VLOOKUP($B249,Seqs!$A:$B,2,0),W249,1),"")</f>
        <v>Y</v>
      </c>
      <c r="W249" s="3">
        <v>135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3">
        <v>143</v>
      </c>
      <c r="AD249" s="3" t="str">
        <f>IFERROR(MID(VLOOKUP($B249,Seqs!$A:$B,2,0),AE249,1),"")</f>
        <v>G</v>
      </c>
      <c r="AE249" s="3">
        <v>166</v>
      </c>
      <c r="AF249" s="3" t="str">
        <f>IFERROR(MID(VLOOKUP($B249,Seqs!$A:$B,2,0),AG249,1),"")</f>
        <v>C</v>
      </c>
      <c r="AG249" s="3">
        <v>177</v>
      </c>
      <c r="AH249" s="3" t="str">
        <f>IFERROR(MID(VLOOKUP($B249,Seqs!$A:$B,2,0),AI249,1),"")</f>
        <v>F</v>
      </c>
      <c r="AI249" s="3">
        <v>179</v>
      </c>
      <c r="AJ249" s="3" t="str">
        <f>IFERROR(MID(VLOOKUP($B249,Seqs!$A:$B,2,0),AK249,1),"")</f>
        <v>S</v>
      </c>
      <c r="AK249" s="3">
        <v>184</v>
      </c>
      <c r="AL249" s="3" t="str">
        <f>IFERROR(MID(VLOOKUP($B249,Seqs!$A:$B,2,0),AM249,1),"")</f>
        <v>R</v>
      </c>
      <c r="AM249" s="3">
        <v>218</v>
      </c>
      <c r="AN249" s="3" t="str">
        <f>IFERROR(MID(VLOOKUP($B249,Seqs!$A:$B,2,0),AO249,1),"")</f>
        <v>R</v>
      </c>
      <c r="AO249" s="3">
        <v>235</v>
      </c>
      <c r="AP249" s="3" t="str">
        <f>IFERROR(MID(VLOOKUP($B249,Seqs!$A:$B,2,0),AQ249,1),"")</f>
        <v>D</v>
      </c>
      <c r="AQ249" s="3">
        <v>264</v>
      </c>
      <c r="AR249" s="3" t="str">
        <f>IFERROR(MID(VLOOKUP($B249,Seqs!$A:$B,2,0),AS249,1),"")</f>
        <v>P</v>
      </c>
      <c r="AS249" s="3">
        <v>273</v>
      </c>
      <c r="AT249" s="3" t="str">
        <f>IFERROR(MID(VLOOKUP($B249,Seqs!$A:$B,2,0),AU249,1),"")</f>
        <v>L</v>
      </c>
      <c r="AU249" s="3">
        <v>298</v>
      </c>
      <c r="AV249" s="3" t="str">
        <f>IFERROR(MID(VLOOKUP($B249,Seqs!$A:$B,2,0),AW249,1),"")</f>
        <v>N</v>
      </c>
      <c r="AW249" s="3">
        <v>299</v>
      </c>
      <c r="AX249" s="3" t="str">
        <f>IFERROR(MID(VLOOKUP($B249,Seqs!$A:$B,2,0),AY249,1),"")</f>
        <v>T</v>
      </c>
      <c r="AY249" s="3">
        <v>315</v>
      </c>
      <c r="AZ249" s="77" t="str">
        <f>VLOOKUP(B249,Classification!A:D,2,0)</f>
        <v>A</v>
      </c>
      <c r="BA249" s="94" t="str">
        <f>VLOOKUP(B249,Classification!A:D,4,0)</f>
        <v>Melatonin</v>
      </c>
      <c r="BB249" s="27" t="b">
        <f t="shared" ref="BB249" si="2013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" si="2014">_xlfn.AGGREGATE(9,6,CH249:CS249)-_xlfn.AGGREGATE(9,6,BV249:CG249)+12</f>
        <v>249</v>
      </c>
      <c r="BD249" s="5" t="s">
        <v>23</v>
      </c>
      <c r="BE249" s="3" t="s">
        <v>1368</v>
      </c>
      <c r="BF249" s="118">
        <v>3.2</v>
      </c>
      <c r="BG249" s="49" t="s">
        <v>1</v>
      </c>
      <c r="BH249" s="49" t="s">
        <v>1</v>
      </c>
      <c r="BI249" s="1"/>
      <c r="BJ249" s="70" t="s">
        <v>1281</v>
      </c>
      <c r="BK249" s="57" t="s">
        <v>1281</v>
      </c>
      <c r="BL249" s="57" t="s">
        <v>1281</v>
      </c>
      <c r="BM249" s="57" t="s">
        <v>1281</v>
      </c>
      <c r="BN249" s="57" t="s">
        <v>1281</v>
      </c>
      <c r="BO249" s="57" t="s">
        <v>1281</v>
      </c>
      <c r="BP249" s="57" t="s">
        <v>1281</v>
      </c>
      <c r="BQ249" s="57" t="s">
        <v>1281</v>
      </c>
      <c r="BR249" s="57" t="s">
        <v>1281</v>
      </c>
      <c r="BS249" s="57" t="s">
        <v>1281</v>
      </c>
      <c r="BT249" s="57" t="s">
        <v>1281</v>
      </c>
      <c r="BU249" s="57" t="s">
        <v>1281</v>
      </c>
      <c r="BV249" s="70">
        <f t="shared" ref="BV249" si="2015">E249</f>
        <v>23</v>
      </c>
      <c r="BW249" s="71">
        <f t="shared" ref="BW249" si="2016">I249</f>
        <v>56</v>
      </c>
      <c r="BX249" s="72">
        <f t="shared" ref="BX249" si="2017">M249</f>
        <v>60</v>
      </c>
      <c r="BY249" s="71">
        <f t="shared" ref="BY249" si="2018">Q249</f>
        <v>92</v>
      </c>
      <c r="BZ249" s="72">
        <f t="shared" ref="BZ249" si="2019">U249</f>
        <v>96</v>
      </c>
      <c r="CA249" s="71" t="str">
        <f t="shared" ref="CA249" si="2020">Y249</f>
        <v>-</v>
      </c>
      <c r="CB249" s="72">
        <f t="shared" ref="CB249" si="2021">AC249</f>
        <v>143</v>
      </c>
      <c r="CC249" s="71">
        <f t="shared" ref="CC249" si="2022">AG249</f>
        <v>177</v>
      </c>
      <c r="CD249" s="72">
        <f t="shared" ref="CD249" si="2023">AK249</f>
        <v>184</v>
      </c>
      <c r="CE249" s="71">
        <f t="shared" ref="CE249" si="2024">AO249</f>
        <v>235</v>
      </c>
      <c r="CF249" s="72">
        <f t="shared" ref="CF249" si="2025">AS249</f>
        <v>273</v>
      </c>
      <c r="CG249" s="71">
        <f t="shared" ref="CG249" si="2026">AW249</f>
        <v>299</v>
      </c>
      <c r="CH249" s="70">
        <f t="shared" ref="CH249" si="2027">G249</f>
        <v>55</v>
      </c>
      <c r="CI249" s="71">
        <f t="shared" ref="CI249" si="2028">K249</f>
        <v>59</v>
      </c>
      <c r="CJ249" s="72">
        <f t="shared" ref="CJ249" si="2029">O249</f>
        <v>91</v>
      </c>
      <c r="CK249" s="72">
        <f t="shared" ref="CK249" si="2030">S249</f>
        <v>95</v>
      </c>
      <c r="CL249" s="72">
        <f t="shared" ref="CL249" si="2031">W249</f>
        <v>135</v>
      </c>
      <c r="CM249" s="72" t="str">
        <f t="shared" ref="CM249" si="2032">AA249</f>
        <v>-</v>
      </c>
      <c r="CN249" s="72">
        <f t="shared" ref="CN249" si="2033">AE249</f>
        <v>166</v>
      </c>
      <c r="CO249" s="72">
        <f t="shared" ref="CO249" si="2034">AI249</f>
        <v>179</v>
      </c>
      <c r="CP249" s="72">
        <f t="shared" ref="CP249" si="2035">AM249</f>
        <v>218</v>
      </c>
      <c r="CQ249" s="72">
        <f t="shared" ref="CQ249" si="2036">AQ249</f>
        <v>264</v>
      </c>
      <c r="CR249" s="72">
        <f t="shared" ref="CR249" si="2037">AU249</f>
        <v>298</v>
      </c>
      <c r="CS249" s="72">
        <f t="shared" ref="CS249" si="2038">AY249</f>
        <v>315</v>
      </c>
      <c r="CT249" s="23">
        <f t="shared" ref="CT249" si="2039"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ref="A250" si="2040">CONCATENATE(B250,"_",C250)</f>
        <v>mtr1a_human_6ME5</v>
      </c>
      <c r="B250" s="3" t="s">
        <v>310</v>
      </c>
      <c r="C250" s="3" t="s">
        <v>1561</v>
      </c>
      <c r="D250" s="3" t="str">
        <f>IFERROR(MID(VLOOKUP($B250,Seqs!$A:$B,2,0),E250,1),"")</f>
        <v>P</v>
      </c>
      <c r="E250" s="3">
        <v>23</v>
      </c>
      <c r="F250" s="3" t="str">
        <f>IFERROR(MID(VLOOKUP($B250,Seqs!$A:$B,2,0),G250,1),"")</f>
        <v>N</v>
      </c>
      <c r="G250" s="3">
        <v>55</v>
      </c>
      <c r="H250" s="3" t="str">
        <f>IFERROR(MID(VLOOKUP($B250,Seqs!$A:$B,2,0),I250,1),"")</f>
        <v>K</v>
      </c>
      <c r="I250" s="23">
        <v>56</v>
      </c>
      <c r="J250" s="3" t="str">
        <f>IFERROR(MID(VLOOKUP($B250,Seqs!$A:$B,2,0),K250,1),"")</f>
        <v>R</v>
      </c>
      <c r="K250" s="23">
        <v>59</v>
      </c>
      <c r="L250" s="3" t="str">
        <f>IFERROR(MID(VLOOKUP($B250,Seqs!$A:$B,2,0),M250,1),"")</f>
        <v>N</v>
      </c>
      <c r="M250" s="3">
        <v>60</v>
      </c>
      <c r="N250" s="3" t="str">
        <f>IFERROR(MID(VLOOKUP($B250,Seqs!$A:$B,2,0),O250,1),"")</f>
        <v>N</v>
      </c>
      <c r="O250" s="3">
        <v>91</v>
      </c>
      <c r="P250" s="3" t="str">
        <f>IFERROR(MID(VLOOKUP($B250,Seqs!$A:$B,2,0),Q250,1),"")</f>
        <v>G</v>
      </c>
      <c r="Q250" s="3">
        <v>92</v>
      </c>
      <c r="R250" s="3" t="str">
        <f>IFERROR(MID(VLOOKUP($B250,Seqs!$A:$B,2,0),S250,1),"")</f>
        <v>L</v>
      </c>
      <c r="S250" s="3">
        <v>95</v>
      </c>
      <c r="T250" s="3" t="str">
        <f>IFERROR(MID(VLOOKUP($B250,Seqs!$A:$B,2,0),U250,1),"")</f>
        <v>G</v>
      </c>
      <c r="U250" s="3">
        <v>96</v>
      </c>
      <c r="V250" s="3" t="str">
        <f>IFERROR(MID(VLOOKUP($B250,Seqs!$A:$B,2,0),W250,1),"")</f>
        <v>Y</v>
      </c>
      <c r="W250" s="3">
        <v>135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N</v>
      </c>
      <c r="AC250" s="3">
        <v>143</v>
      </c>
      <c r="AD250" s="3" t="str">
        <f>IFERROR(MID(VLOOKUP($B250,Seqs!$A:$B,2,0),AE250,1),"")</f>
        <v>G</v>
      </c>
      <c r="AE250" s="3">
        <v>166</v>
      </c>
      <c r="AF250" s="3" t="str">
        <f>IFERROR(MID(VLOOKUP($B250,Seqs!$A:$B,2,0),AG250,1),"")</f>
        <v>C</v>
      </c>
      <c r="AG250" s="3">
        <v>177</v>
      </c>
      <c r="AH250" s="3" t="str">
        <f>IFERROR(MID(VLOOKUP($B250,Seqs!$A:$B,2,0),AI250,1),"")</f>
        <v>F</v>
      </c>
      <c r="AI250" s="3">
        <v>179</v>
      </c>
      <c r="AJ250" s="3" t="str">
        <f>IFERROR(MID(VLOOKUP($B250,Seqs!$A:$B,2,0),AK250,1),"")</f>
        <v>S</v>
      </c>
      <c r="AK250" s="3">
        <v>184</v>
      </c>
      <c r="AL250" s="3" t="str">
        <f>IFERROR(MID(VLOOKUP($B250,Seqs!$A:$B,2,0),AM250,1),"")</f>
        <v>R</v>
      </c>
      <c r="AM250" s="3">
        <v>218</v>
      </c>
      <c r="AN250" s="3" t="str">
        <f>IFERROR(MID(VLOOKUP($B250,Seqs!$A:$B,2,0),AO250,1),"")</f>
        <v>R</v>
      </c>
      <c r="AO250" s="3">
        <v>235</v>
      </c>
      <c r="AP250" s="3" t="str">
        <f>IFERROR(MID(VLOOKUP($B250,Seqs!$A:$B,2,0),AQ250,1),"")</f>
        <v>D</v>
      </c>
      <c r="AQ250" s="3">
        <v>264</v>
      </c>
      <c r="AR250" s="3" t="str">
        <f>IFERROR(MID(VLOOKUP($B250,Seqs!$A:$B,2,0),AS250,1),"")</f>
        <v>P</v>
      </c>
      <c r="AS250" s="3">
        <v>273</v>
      </c>
      <c r="AT250" s="3" t="str">
        <f>IFERROR(MID(VLOOKUP($B250,Seqs!$A:$B,2,0),AU250,1),"")</f>
        <v>L</v>
      </c>
      <c r="AU250" s="3">
        <v>298</v>
      </c>
      <c r="AV250" s="3" t="str">
        <f>IFERROR(MID(VLOOKUP($B250,Seqs!$A:$B,2,0),AW250,1),"")</f>
        <v>N</v>
      </c>
      <c r="AW250" s="3">
        <v>299</v>
      </c>
      <c r="AX250" s="3" t="str">
        <f>IFERROR(MID(VLOOKUP($B250,Seqs!$A:$B,2,0),AY250,1),"")</f>
        <v>T</v>
      </c>
      <c r="AY250" s="3">
        <v>315</v>
      </c>
      <c r="AZ250" s="77" t="str">
        <f>VLOOKUP(B250,Classification!A:D,2,0)</f>
        <v>A</v>
      </c>
      <c r="BA250" s="94" t="str">
        <f>VLOOKUP(B250,Classification!A:D,4,0)</f>
        <v>Melatonin</v>
      </c>
      <c r="BB250" s="27" t="b">
        <f t="shared" ref="BB250" si="2041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2042">_xlfn.AGGREGATE(9,6,CH250:CS250)-_xlfn.AGGREGATE(9,6,BV250:CG250)+12</f>
        <v>249</v>
      </c>
      <c r="BD250" s="5" t="s">
        <v>23</v>
      </c>
      <c r="BE250" s="3" t="s">
        <v>1368</v>
      </c>
      <c r="BF250" s="118">
        <v>3.2</v>
      </c>
      <c r="BG250" s="49" t="s">
        <v>1</v>
      </c>
      <c r="BH250" s="49" t="s">
        <v>1</v>
      </c>
      <c r="BI250" s="1"/>
      <c r="BJ250" s="70" t="s">
        <v>1281</v>
      </c>
      <c r="BK250" s="57" t="s">
        <v>1281</v>
      </c>
      <c r="BL250" s="57" t="s">
        <v>1281</v>
      </c>
      <c r="BM250" s="57" t="s">
        <v>1281</v>
      </c>
      <c r="BN250" s="57" t="s">
        <v>1281</v>
      </c>
      <c r="BO250" s="57" t="s">
        <v>1281</v>
      </c>
      <c r="BP250" s="57" t="s">
        <v>1281</v>
      </c>
      <c r="BQ250" s="57" t="s">
        <v>1281</v>
      </c>
      <c r="BR250" s="57" t="s">
        <v>1281</v>
      </c>
      <c r="BS250" s="57" t="s">
        <v>1281</v>
      </c>
      <c r="BT250" s="57" t="s">
        <v>1281</v>
      </c>
      <c r="BU250" s="57" t="s">
        <v>1281</v>
      </c>
      <c r="BV250" s="70">
        <f t="shared" ref="BV250" si="2043">E250</f>
        <v>23</v>
      </c>
      <c r="BW250" s="71">
        <f t="shared" ref="BW250" si="2044">I250</f>
        <v>56</v>
      </c>
      <c r="BX250" s="72">
        <f t="shared" ref="BX250" si="2045">M250</f>
        <v>60</v>
      </c>
      <c r="BY250" s="71">
        <f t="shared" ref="BY250" si="2046">Q250</f>
        <v>92</v>
      </c>
      <c r="BZ250" s="72">
        <f t="shared" ref="BZ250" si="2047">U250</f>
        <v>96</v>
      </c>
      <c r="CA250" s="71" t="str">
        <f t="shared" ref="CA250" si="2048">Y250</f>
        <v>-</v>
      </c>
      <c r="CB250" s="72">
        <f t="shared" ref="CB250" si="2049">AC250</f>
        <v>143</v>
      </c>
      <c r="CC250" s="71">
        <f t="shared" ref="CC250" si="2050">AG250</f>
        <v>177</v>
      </c>
      <c r="CD250" s="72">
        <f t="shared" ref="CD250" si="2051">AK250</f>
        <v>184</v>
      </c>
      <c r="CE250" s="71">
        <f t="shared" ref="CE250" si="2052">AO250</f>
        <v>235</v>
      </c>
      <c r="CF250" s="72">
        <f t="shared" ref="CF250" si="2053">AS250</f>
        <v>273</v>
      </c>
      <c r="CG250" s="71">
        <f t="shared" ref="CG250" si="2054">AW250</f>
        <v>299</v>
      </c>
      <c r="CH250" s="70">
        <f t="shared" ref="CH250" si="2055">G250</f>
        <v>55</v>
      </c>
      <c r="CI250" s="71">
        <f t="shared" ref="CI250" si="2056">K250</f>
        <v>59</v>
      </c>
      <c r="CJ250" s="72">
        <f t="shared" ref="CJ250" si="2057">O250</f>
        <v>91</v>
      </c>
      <c r="CK250" s="72">
        <f t="shared" ref="CK250" si="2058">S250</f>
        <v>95</v>
      </c>
      <c r="CL250" s="72">
        <f t="shared" ref="CL250" si="2059">W250</f>
        <v>135</v>
      </c>
      <c r="CM250" s="72" t="str">
        <f t="shared" ref="CM250" si="2060">AA250</f>
        <v>-</v>
      </c>
      <c r="CN250" s="72">
        <f t="shared" ref="CN250" si="2061">AE250</f>
        <v>166</v>
      </c>
      <c r="CO250" s="72">
        <f t="shared" ref="CO250" si="2062">AI250</f>
        <v>179</v>
      </c>
      <c r="CP250" s="72">
        <f t="shared" ref="CP250" si="2063">AM250</f>
        <v>218</v>
      </c>
      <c r="CQ250" s="72">
        <f t="shared" ref="CQ250" si="2064">AQ250</f>
        <v>264</v>
      </c>
      <c r="CR250" s="72">
        <f t="shared" ref="CR250" si="2065">AU250</f>
        <v>298</v>
      </c>
      <c r="CS250" s="72">
        <f t="shared" ref="CS250" si="2066">AY250</f>
        <v>315</v>
      </c>
      <c r="CT250" s="23">
        <f t="shared" ref="CT250" si="2067"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s="12" customFormat="1" x14ac:dyDescent="0.2">
      <c r="A251" s="9" t="str">
        <f>CONCATENATE(B251,"_",C251)</f>
        <v>mtr1a_human_6PS8</v>
      </c>
      <c r="B251" s="9" t="s">
        <v>310</v>
      </c>
      <c r="C251" s="9" t="s">
        <v>1610</v>
      </c>
      <c r="D251" s="9" t="str">
        <f>IFERROR(MID(VLOOKUP($B251,Seqs!$A:$B,2,0),E251,1),"")</f>
        <v>S</v>
      </c>
      <c r="E251" s="9">
        <v>24</v>
      </c>
      <c r="F251" s="9" t="str">
        <f>IFERROR(MID(VLOOKUP($B251,Seqs!$A:$B,2,0),G251,1),"")</f>
        <v>N</v>
      </c>
      <c r="G251" s="9">
        <v>55</v>
      </c>
      <c r="H251" s="9" t="str">
        <f>IFERROR(MID(VLOOKUP($B251,Seqs!$A:$B,2,0),I251,1),"")</f>
        <v>K</v>
      </c>
      <c r="I251" s="109">
        <v>56</v>
      </c>
      <c r="J251" s="9" t="str">
        <f>IFERROR(MID(VLOOKUP($B251,Seqs!$A:$B,2,0),K251,1),"")</f>
        <v>R</v>
      </c>
      <c r="K251" s="109">
        <v>59</v>
      </c>
      <c r="L251" s="9" t="str">
        <f>IFERROR(MID(VLOOKUP($B251,Seqs!$A:$B,2,0),M251,1),"")</f>
        <v>N</v>
      </c>
      <c r="M251" s="9">
        <v>60</v>
      </c>
      <c r="N251" s="9" t="str">
        <f>IFERROR(MID(VLOOKUP($B251,Seqs!$A:$B,2,0),O251,1),"")</f>
        <v>N</v>
      </c>
      <c r="O251" s="9">
        <v>91</v>
      </c>
      <c r="P251" s="9" t="str">
        <f>IFERROR(MID(VLOOKUP($B251,Seqs!$A:$B,2,0),Q251,1),"")</f>
        <v>G</v>
      </c>
      <c r="Q251" s="9">
        <v>92</v>
      </c>
      <c r="R251" s="9" t="str">
        <f>IFERROR(MID(VLOOKUP($B251,Seqs!$A:$B,2,0),S251,1),"")</f>
        <v>L</v>
      </c>
      <c r="S251" s="9">
        <v>95</v>
      </c>
      <c r="T251" s="9" t="str">
        <f>IFERROR(MID(VLOOKUP($B251,Seqs!$A:$B,2,0),U251,1),"")</f>
        <v>G</v>
      </c>
      <c r="U251" s="9">
        <v>96</v>
      </c>
      <c r="V251" s="9" t="str">
        <f>IFERROR(MID(VLOOKUP($B251,Seqs!$A:$B,2,0),W251,1),"")</f>
        <v>Y</v>
      </c>
      <c r="W251" s="9">
        <v>135</v>
      </c>
      <c r="X251" s="9" t="str">
        <f>IFERROR(MID(VLOOKUP($B251,Seqs!$A:$B,2,0),Y251,1),"")</f>
        <v/>
      </c>
      <c r="Y251" s="9" t="s">
        <v>23</v>
      </c>
      <c r="Z251" s="9" t="str">
        <f>IFERROR(MID(VLOOKUP($B251,Seqs!$A:$B,2,0),AA251,1),"")</f>
        <v/>
      </c>
      <c r="AA251" s="9" t="s">
        <v>23</v>
      </c>
      <c r="AB251" s="9" t="str">
        <f>IFERROR(MID(VLOOKUP($B251,Seqs!$A:$B,2,0),AC251,1),"")</f>
        <v>N</v>
      </c>
      <c r="AC251" s="9">
        <v>143</v>
      </c>
      <c r="AD251" s="9" t="str">
        <f>IFERROR(MID(VLOOKUP($B251,Seqs!$A:$B,2,0),AE251,1),"")</f>
        <v>G</v>
      </c>
      <c r="AE251" s="9">
        <v>166</v>
      </c>
      <c r="AF251" s="9" t="str">
        <f>IFERROR(MID(VLOOKUP($B251,Seqs!$A:$B,2,0),AG251,1),"")</f>
        <v>C</v>
      </c>
      <c r="AG251" s="9">
        <v>177</v>
      </c>
      <c r="AH251" s="9" t="str">
        <f>IFERROR(MID(VLOOKUP($B251,Seqs!$A:$B,2,0),AI251,1),"")</f>
        <v>F</v>
      </c>
      <c r="AI251" s="9">
        <v>179</v>
      </c>
      <c r="AJ251" s="9" t="str">
        <f>IFERROR(MID(VLOOKUP($B251,Seqs!$A:$B,2,0),AK251,1),"")</f>
        <v>S</v>
      </c>
      <c r="AK251" s="9">
        <v>184</v>
      </c>
      <c r="AL251" s="9" t="str">
        <f>IFERROR(MID(VLOOKUP($B251,Seqs!$A:$B,2,0),AM251,1),"")</f>
        <v>R</v>
      </c>
      <c r="AM251" s="9">
        <v>218</v>
      </c>
      <c r="AN251" s="9" t="str">
        <f>IFERROR(MID(VLOOKUP($B251,Seqs!$A:$B,2,0),AO251,1),"")</f>
        <v>F</v>
      </c>
      <c r="AO251" s="9">
        <v>234</v>
      </c>
      <c r="AP251" s="9" t="str">
        <f>IFERROR(MID(VLOOKUP($B251,Seqs!$A:$B,2,0),AQ251,1),"")</f>
        <v>S</v>
      </c>
      <c r="AQ251" s="9">
        <v>263</v>
      </c>
      <c r="AR251" s="9" t="str">
        <f>IFERROR(MID(VLOOKUP($B251,Seqs!$A:$B,2,0),AS251,1),"")</f>
        <v>P</v>
      </c>
      <c r="AS251" s="9">
        <v>273</v>
      </c>
      <c r="AT251" s="9" t="str">
        <f>IFERROR(MID(VLOOKUP($B251,Seqs!$A:$B,2,0),AU251,1),"")</f>
        <v>L</v>
      </c>
      <c r="AU251" s="9">
        <v>298</v>
      </c>
      <c r="AV251" s="9" t="str">
        <f>IFERROR(MID(VLOOKUP($B251,Seqs!$A:$B,2,0),AW251,1),"")</f>
        <v>N</v>
      </c>
      <c r="AW251" s="9">
        <v>299</v>
      </c>
      <c r="AX251" s="9" t="str">
        <f>IFERROR(MID(VLOOKUP($B251,Seqs!$A:$B,2,0),AY251,1),"")</f>
        <v>T</v>
      </c>
      <c r="AY251" s="9">
        <v>315</v>
      </c>
      <c r="AZ251" s="110" t="str">
        <f>VLOOKUP(B251,Classification!A:D,2,0)</f>
        <v>A</v>
      </c>
      <c r="BA251" s="98" t="str">
        <f>VLOOKUP(B251,Classification!A:D,4,0)</f>
        <v>Melatonin</v>
      </c>
      <c r="BB251" s="36" t="b">
        <f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109">
        <f>_xlfn.AGGREGATE(9,6,CH251:CS251)-_xlfn.AGGREGATE(9,6,BV251:CG251)+12</f>
        <v>248</v>
      </c>
      <c r="BD251" s="123" t="s">
        <v>23</v>
      </c>
      <c r="BE251" s="9" t="s">
        <v>1368</v>
      </c>
      <c r="BF251" s="119">
        <v>3.3</v>
      </c>
      <c r="BG251" s="51" t="s">
        <v>1</v>
      </c>
      <c r="BH251" s="51" t="s">
        <v>1</v>
      </c>
      <c r="BJ251" s="111" t="s">
        <v>1281</v>
      </c>
      <c r="BK251" s="112" t="s">
        <v>1281</v>
      </c>
      <c r="BL251" s="112" t="s">
        <v>1281</v>
      </c>
      <c r="BM251" s="112" t="s">
        <v>1281</v>
      </c>
      <c r="BN251" s="112" t="s">
        <v>1281</v>
      </c>
      <c r="BO251" s="112" t="s">
        <v>1281</v>
      </c>
      <c r="BP251" s="112" t="s">
        <v>1281</v>
      </c>
      <c r="BQ251" s="112" t="s">
        <v>1281</v>
      </c>
      <c r="BR251" s="112" t="s">
        <v>1281</v>
      </c>
      <c r="BS251" s="112" t="s">
        <v>1281</v>
      </c>
      <c r="BT251" s="112" t="s">
        <v>1281</v>
      </c>
      <c r="BU251" s="112" t="s">
        <v>1281</v>
      </c>
      <c r="BV251" s="111">
        <f>E251</f>
        <v>24</v>
      </c>
      <c r="BW251" s="113">
        <f>I251</f>
        <v>56</v>
      </c>
      <c r="BX251" s="114">
        <f>M251</f>
        <v>60</v>
      </c>
      <c r="BY251" s="113">
        <f>Q251</f>
        <v>92</v>
      </c>
      <c r="BZ251" s="114">
        <f>U251</f>
        <v>96</v>
      </c>
      <c r="CA251" s="113" t="str">
        <f>Y251</f>
        <v>-</v>
      </c>
      <c r="CB251" s="114">
        <f>AC251</f>
        <v>143</v>
      </c>
      <c r="CC251" s="113">
        <f>AG251</f>
        <v>177</v>
      </c>
      <c r="CD251" s="114">
        <f>AK251</f>
        <v>184</v>
      </c>
      <c r="CE251" s="113">
        <f>AO251</f>
        <v>234</v>
      </c>
      <c r="CF251" s="114">
        <f>AS251</f>
        <v>273</v>
      </c>
      <c r="CG251" s="113">
        <f>AW251</f>
        <v>299</v>
      </c>
      <c r="CH251" s="111">
        <f>G251</f>
        <v>55</v>
      </c>
      <c r="CI251" s="113">
        <f>K251</f>
        <v>59</v>
      </c>
      <c r="CJ251" s="114">
        <f>O251</f>
        <v>91</v>
      </c>
      <c r="CK251" s="114">
        <f>S251</f>
        <v>95</v>
      </c>
      <c r="CL251" s="114">
        <f>W251</f>
        <v>135</v>
      </c>
      <c r="CM251" s="114" t="str">
        <f>AA251</f>
        <v>-</v>
      </c>
      <c r="CN251" s="114">
        <f>AE251</f>
        <v>166</v>
      </c>
      <c r="CO251" s="114">
        <f>AI251</f>
        <v>179</v>
      </c>
      <c r="CP251" s="114">
        <f>AM251</f>
        <v>218</v>
      </c>
      <c r="CQ251" s="114">
        <f>AQ251</f>
        <v>263</v>
      </c>
      <c r="CR251" s="114">
        <f>AU251</f>
        <v>298</v>
      </c>
      <c r="CS251" s="114">
        <f>AY251</f>
        <v>315</v>
      </c>
      <c r="CT251" s="109">
        <f>M251-K251</f>
        <v>1</v>
      </c>
    </row>
    <row r="252" spans="1:1029" x14ac:dyDescent="0.2">
      <c r="A252" s="3" t="str">
        <f t="shared" ref="A252:A253" si="2068">CONCATENATE(B252,"_",C252)</f>
        <v>mtr1b_human__wt</v>
      </c>
      <c r="B252" s="3" t="s">
        <v>311</v>
      </c>
      <c r="C252" s="3" t="s">
        <v>100</v>
      </c>
      <c r="D252" s="3" t="str">
        <f>IFERROR(MID(VLOOKUP($B252,Seqs!$A:$B,2,0),E252,1),"")</f>
        <v>W</v>
      </c>
      <c r="E252" s="3">
        <v>38</v>
      </c>
      <c r="F252" s="3" t="str">
        <f>IFERROR(MID(VLOOKUP($B252,Seqs!$A:$B,2,0),G252,1),"")</f>
        <v>N</v>
      </c>
      <c r="G252" s="3">
        <v>68</v>
      </c>
      <c r="H252" s="3" t="str">
        <f>IFERROR(MID(VLOOKUP($B252,Seqs!$A:$B,2,0),I252,1),"")</f>
        <v>R</v>
      </c>
      <c r="I252" s="23">
        <v>69</v>
      </c>
      <c r="J252" s="3" t="str">
        <f>IFERROR(MID(VLOOKUP($B252,Seqs!$A:$B,2,0),K252,1),"")</f>
        <v>R</v>
      </c>
      <c r="K252" s="23">
        <v>72</v>
      </c>
      <c r="L252" s="3" t="str">
        <f>IFERROR(MID(VLOOKUP($B252,Seqs!$A:$B,2,0),M252,1),"")</f>
        <v>N</v>
      </c>
      <c r="M252" s="3">
        <v>73</v>
      </c>
      <c r="N252" s="3" t="str">
        <f>IFERROR(MID(VLOOKUP($B252,Seqs!$A:$B,2,0),O252,1),"")</f>
        <v>D</v>
      </c>
      <c r="O252" s="3">
        <v>104</v>
      </c>
      <c r="P252" s="3" t="str">
        <f>IFERROR(MID(VLOOKUP($B252,Seqs!$A:$B,2,0),Q252,1),"")</f>
        <v>G</v>
      </c>
      <c r="Q252" s="3">
        <v>105</v>
      </c>
      <c r="R252" s="3" t="str">
        <f>IFERROR(MID(VLOOKUP($B252,Seqs!$A:$B,2,0),S252,1),"")</f>
        <v>L</v>
      </c>
      <c r="S252" s="3">
        <v>108</v>
      </c>
      <c r="T252" s="3" t="str">
        <f>IFERROR(MID(VLOOKUP($B252,Seqs!$A:$B,2,0),U252,1),"")</f>
        <v>G</v>
      </c>
      <c r="U252" s="3">
        <v>109</v>
      </c>
      <c r="V252" s="3" t="str">
        <f>IFERROR(MID(VLOOKUP($B252,Seqs!$A:$B,2,0),W252,1),"")</f>
        <v>H</v>
      </c>
      <c r="W252" s="3">
        <v>144</v>
      </c>
      <c r="X252" s="3" t="str">
        <f>IFERROR(MID(VLOOKUP($B252,Seqs!$A:$B,2,0),Y252,1),"")</f>
        <v>S</v>
      </c>
      <c r="Y252" s="3">
        <v>145</v>
      </c>
      <c r="Z252" s="3" t="str">
        <f>IFERROR(MID(VLOOKUP($B252,Seqs!$A:$B,2,0),AA252,1),"")</f>
        <v>Y</v>
      </c>
      <c r="AA252" s="3">
        <v>152</v>
      </c>
      <c r="AB252" s="3" t="str">
        <f>IFERROR(MID(VLOOKUP($B252,Seqs!$A:$B,2,0),AC252,1),"")</f>
        <v>R</v>
      </c>
      <c r="AC252" s="3">
        <v>153</v>
      </c>
      <c r="AD252" s="3" t="str">
        <f>IFERROR(MID(VLOOKUP($B252,Seqs!$A:$B,2,0),AE252,1),"")</f>
        <v>G</v>
      </c>
      <c r="AE252" s="3">
        <v>179</v>
      </c>
      <c r="AF252" s="3" t="str">
        <f>IFERROR(MID(VLOOKUP($B252,Seqs!$A:$B,2,0),AG252,1),"")</f>
        <v>C</v>
      </c>
      <c r="AG252" s="3">
        <v>190</v>
      </c>
      <c r="AH252" s="3" t="str">
        <f>IFERROR(MID(VLOOKUP($B252,Seqs!$A:$B,2,0),AI252,1),"")</f>
        <v>F</v>
      </c>
      <c r="AI252" s="3">
        <v>192</v>
      </c>
      <c r="AJ252" s="3" t="str">
        <f>IFERROR(MID(VLOOKUP($B252,Seqs!$A:$B,2,0),AK252,1),"")</f>
        <v>S</v>
      </c>
      <c r="AK252" s="3">
        <v>197</v>
      </c>
      <c r="AL252" s="3" t="str">
        <f>IFERROR(MID(VLOOKUP($B252,Seqs!$A:$B,2,0),AM252,1),"")</f>
        <v>A</v>
      </c>
      <c r="AM252" s="3">
        <v>234</v>
      </c>
      <c r="AN252" s="3" t="str">
        <f>IFERROR(MID(VLOOKUP($B252,Seqs!$A:$B,2,0),AO252,1),"")</f>
        <v>L</v>
      </c>
      <c r="AO252" s="3">
        <v>240</v>
      </c>
      <c r="AP252" s="3" t="str">
        <f>IFERROR(MID(VLOOKUP($B252,Seqs!$A:$B,2,0),AQ252,1),"")</f>
        <v>N</v>
      </c>
      <c r="AQ252" s="3">
        <v>277</v>
      </c>
      <c r="AR252" s="3" t="str">
        <f>IFERROR(MID(VLOOKUP($B252,Seqs!$A:$B,2,0),AS252,1),"")</f>
        <v>P</v>
      </c>
      <c r="AS252" s="3">
        <v>286</v>
      </c>
      <c r="AT252" s="3" t="str">
        <f>IFERROR(MID(VLOOKUP($B252,Seqs!$A:$B,2,0),AU252,1),"")</f>
        <v>L</v>
      </c>
      <c r="AU252" s="3">
        <v>311</v>
      </c>
      <c r="AV252" s="3" t="str">
        <f>IFERROR(MID(VLOOKUP($B252,Seqs!$A:$B,2,0),AW252,1),"")</f>
        <v>N</v>
      </c>
      <c r="AW252" s="3">
        <v>312</v>
      </c>
      <c r="AX252" s="3" t="str">
        <f>IFERROR(MID(VLOOKUP($B252,Seqs!$A:$B,2,0),AY252,1),"")</f>
        <v>N</v>
      </c>
      <c r="AY252" s="3">
        <v>328</v>
      </c>
      <c r="AZ252" s="77" t="str">
        <f>VLOOKUP(B252,Classification!A:D,2,0)</f>
        <v>A</v>
      </c>
      <c r="BA252" s="94" t="str">
        <f>VLOOKUP(B252,Classification!A:D,4,0)</f>
        <v>Melatonin</v>
      </c>
      <c r="BB252" s="27" t="b">
        <f t="shared" ref="BB252:BB253" si="2069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53" si="2070">_xlfn.AGGREGATE(9,6,CH252:CS252)-_xlfn.AGGREGATE(9,6,BV252:CG252)+12</f>
        <v>264</v>
      </c>
      <c r="BD252" s="5" t="s">
        <v>23</v>
      </c>
      <c r="BE252" s="3" t="s">
        <v>23</v>
      </c>
      <c r="BF252" s="118" t="s">
        <v>23</v>
      </c>
      <c r="BI252" s="1"/>
      <c r="BJ252" s="70" t="s">
        <v>1281</v>
      </c>
      <c r="BK252" s="57" t="s">
        <v>1281</v>
      </c>
      <c r="BL252" s="57" t="s">
        <v>1281</v>
      </c>
      <c r="BM252" s="57" t="s">
        <v>1281</v>
      </c>
      <c r="BN252" s="57" t="s">
        <v>1281</v>
      </c>
      <c r="BO252" s="57" t="s">
        <v>1281</v>
      </c>
      <c r="BP252" s="57" t="s">
        <v>1281</v>
      </c>
      <c r="BQ252" s="57" t="s">
        <v>1281</v>
      </c>
      <c r="BR252" s="57" t="s">
        <v>1281</v>
      </c>
      <c r="BS252" s="57" t="s">
        <v>1281</v>
      </c>
      <c r="BT252" s="57" t="s">
        <v>1281</v>
      </c>
      <c r="BU252" s="57" t="s">
        <v>1281</v>
      </c>
      <c r="BV252" s="70">
        <f t="shared" ref="BV252:BV253" si="2071">E252</f>
        <v>38</v>
      </c>
      <c r="BW252" s="71">
        <f t="shared" ref="BW252:BW253" si="2072">I252</f>
        <v>69</v>
      </c>
      <c r="BX252" s="72">
        <f t="shared" ref="BX252:BX253" si="2073">M252</f>
        <v>73</v>
      </c>
      <c r="BY252" s="71">
        <f t="shared" ref="BY252:BY253" si="2074">Q252</f>
        <v>105</v>
      </c>
      <c r="BZ252" s="72">
        <f t="shared" ref="BZ252:BZ253" si="2075">U252</f>
        <v>109</v>
      </c>
      <c r="CA252" s="71">
        <f t="shared" ref="CA252:CA253" si="2076">Y252</f>
        <v>145</v>
      </c>
      <c r="CB252" s="72">
        <f t="shared" ref="CB252:CB253" si="2077">AC252</f>
        <v>153</v>
      </c>
      <c r="CC252" s="71">
        <f t="shared" ref="CC252:CC253" si="2078">AG252</f>
        <v>190</v>
      </c>
      <c r="CD252" s="72">
        <f t="shared" ref="CD252:CD253" si="2079">AK252</f>
        <v>197</v>
      </c>
      <c r="CE252" s="71">
        <f t="shared" ref="CE252:CE253" si="2080">AO252</f>
        <v>240</v>
      </c>
      <c r="CF252" s="72">
        <f t="shared" ref="CF252:CF253" si="2081">AS252</f>
        <v>286</v>
      </c>
      <c r="CG252" s="71">
        <f t="shared" ref="CG252:CG253" si="2082">AW252</f>
        <v>312</v>
      </c>
      <c r="CH252" s="70">
        <f t="shared" ref="CH252:CH253" si="2083">G252</f>
        <v>68</v>
      </c>
      <c r="CI252" s="71">
        <f t="shared" ref="CI252:CI253" si="2084">K252</f>
        <v>72</v>
      </c>
      <c r="CJ252" s="72">
        <f t="shared" ref="CJ252:CJ253" si="2085">O252</f>
        <v>104</v>
      </c>
      <c r="CK252" s="72">
        <f t="shared" ref="CK252:CK253" si="2086">S252</f>
        <v>108</v>
      </c>
      <c r="CL252" s="72">
        <f t="shared" ref="CL252:CL253" si="2087">W252</f>
        <v>144</v>
      </c>
      <c r="CM252" s="72">
        <f t="shared" ref="CM252:CM253" si="2088">AA252</f>
        <v>152</v>
      </c>
      <c r="CN252" s="72">
        <f t="shared" ref="CN252:CN253" si="2089">AE252</f>
        <v>179</v>
      </c>
      <c r="CO252" s="72">
        <f t="shared" ref="CO252:CO253" si="2090">AI252</f>
        <v>192</v>
      </c>
      <c r="CP252" s="72">
        <f t="shared" ref="CP252:CP253" si="2091">AM252</f>
        <v>234</v>
      </c>
      <c r="CQ252" s="72">
        <f t="shared" ref="CQ252:CQ253" si="2092">AQ252</f>
        <v>277</v>
      </c>
      <c r="CR252" s="72">
        <f t="shared" ref="CR252:CR253" si="2093">AU252</f>
        <v>311</v>
      </c>
      <c r="CS252" s="72">
        <f t="shared" ref="CS252:CS253" si="2094">AY252</f>
        <v>328</v>
      </c>
      <c r="CT252" s="23">
        <f t="shared" ref="CT252:CT253" si="2095">M252-K252</f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2068"/>
        <v>mtr1b_human_6ME6</v>
      </c>
      <c r="B253" s="3" t="s">
        <v>311</v>
      </c>
      <c r="C253" s="3" t="s">
        <v>1562</v>
      </c>
      <c r="D253" s="3" t="str">
        <f>IFERROR(MID(VLOOKUP($B253,Seqs!$A:$B,2,0),E253,1),"")</f>
        <v>W</v>
      </c>
      <c r="E253" s="3">
        <v>38</v>
      </c>
      <c r="F253" s="3" t="str">
        <f>IFERROR(MID(VLOOKUP($B253,Seqs!$A:$B,2,0),G253,1),"")</f>
        <v>R</v>
      </c>
      <c r="G253" s="3">
        <v>67</v>
      </c>
      <c r="H253" s="3" t="str">
        <f>IFERROR(MID(VLOOKUP($B253,Seqs!$A:$B,2,0),I253,1),"")</f>
        <v>R</v>
      </c>
      <c r="I253" s="23">
        <v>69</v>
      </c>
      <c r="J253" s="3" t="str">
        <f>IFERROR(MID(VLOOKUP($B253,Seqs!$A:$B,2,0),K253,1),"")</f>
        <v>R</v>
      </c>
      <c r="K253" s="23">
        <v>72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D</v>
      </c>
      <c r="O253" s="3">
        <v>104</v>
      </c>
      <c r="P253" s="3" t="str">
        <f>IFERROR(MID(VLOOKUP($B253,Seqs!$A:$B,2,0),Q253,1),"")</f>
        <v>G</v>
      </c>
      <c r="Q253" s="3">
        <v>105</v>
      </c>
      <c r="R253" s="3" t="str">
        <f>IFERROR(MID(VLOOKUP($B253,Seqs!$A:$B,2,0),S253,1),"")</f>
        <v>L</v>
      </c>
      <c r="S253" s="3">
        <v>108</v>
      </c>
      <c r="T253" s="3" t="str">
        <f>IFERROR(MID(VLOOKUP($B253,Seqs!$A:$B,2,0),U253,1),"")</f>
        <v>E</v>
      </c>
      <c r="U253" s="3">
        <v>110</v>
      </c>
      <c r="V253" s="3" t="str">
        <f>IFERROR(MID(VLOOKUP($B253,Seqs!$A:$B,2,0),W253,1),"")</f>
        <v>H</v>
      </c>
      <c r="W253" s="3">
        <v>144</v>
      </c>
      <c r="X253" s="3" t="str">
        <f>IFERROR(MID(VLOOKUP($B253,Seqs!$A:$B,2,0),Y253,1),"")</f>
        <v>S</v>
      </c>
      <c r="Y253" s="3">
        <v>145</v>
      </c>
      <c r="Z253" s="3" t="str">
        <f>IFERROR(MID(VLOOKUP($B253,Seqs!$A:$B,2,0),AA253,1),"")</f>
        <v>Y</v>
      </c>
      <c r="AA253" s="3">
        <v>152</v>
      </c>
      <c r="AB253" s="3" t="str">
        <f>IFERROR(MID(VLOOKUP($B253,Seqs!$A:$B,2,0),AC253,1),"")</f>
        <v>R</v>
      </c>
      <c r="AC253" s="3">
        <v>153</v>
      </c>
      <c r="AD253" s="3" t="str">
        <f>IFERROR(MID(VLOOKUP($B253,Seqs!$A:$B,2,0),AE253,1),"")</f>
        <v>V</v>
      </c>
      <c r="AE253" s="3">
        <v>178</v>
      </c>
      <c r="AF253" s="3" t="str">
        <f>IFERROR(MID(VLOOKUP($B253,Seqs!$A:$B,2,0),AG253,1),"")</f>
        <v>C</v>
      </c>
      <c r="AG253" s="3">
        <v>190</v>
      </c>
      <c r="AH253" s="3" t="str">
        <f>IFERROR(MID(VLOOKUP($B253,Seqs!$A:$B,2,0),AI253,1),"")</f>
        <v>F</v>
      </c>
      <c r="AI253" s="3">
        <v>192</v>
      </c>
      <c r="AJ253" s="3" t="str">
        <f>IFERROR(MID(VLOOKUP($B253,Seqs!$A:$B,2,0),AK253,1),"")</f>
        <v>S</v>
      </c>
      <c r="AK253" s="3">
        <v>197</v>
      </c>
      <c r="AL253" s="3" t="str">
        <f>IFERROR(MID(VLOOKUP($B253,Seqs!$A:$B,2,0),AM253,1),"")</f>
        <v>R</v>
      </c>
      <c r="AM253" s="3">
        <v>231</v>
      </c>
      <c r="AN253" s="3" t="str">
        <f>IFERROR(MID(VLOOKUP($B253,Seqs!$A:$B,2,0),AO253,1),"")</f>
        <v>F</v>
      </c>
      <c r="AO253" s="3">
        <v>250</v>
      </c>
      <c r="AP253" s="3" t="str">
        <f>IFERROR(MID(VLOOKUP($B253,Seqs!$A:$B,2,0),AQ253,1),"")</f>
        <v>N</v>
      </c>
      <c r="AQ253" s="3">
        <v>277</v>
      </c>
      <c r="AR253" s="3" t="str">
        <f>IFERROR(MID(VLOOKUP($B253,Seqs!$A:$B,2,0),AS253,1),"")</f>
        <v>P</v>
      </c>
      <c r="AS253" s="3">
        <v>286</v>
      </c>
      <c r="AT253" s="3" t="str">
        <f>IFERROR(MID(VLOOKUP($B253,Seqs!$A:$B,2,0),AU253,1),"")</f>
        <v>L</v>
      </c>
      <c r="AU253" s="3">
        <v>311</v>
      </c>
      <c r="AV253" s="3" t="str">
        <f>IFERROR(MID(VLOOKUP($B253,Seqs!$A:$B,2,0),AW253,1),"")</f>
        <v>N</v>
      </c>
      <c r="AW253" s="3">
        <v>312</v>
      </c>
      <c r="AX253" s="3" t="str">
        <f>IFERROR(MID(VLOOKUP($B253,Seqs!$A:$B,2,0),AY253,1),"")</f>
        <v>N</v>
      </c>
      <c r="AY253" s="3">
        <v>328</v>
      </c>
      <c r="AZ253" s="77" t="str">
        <f>VLOOKUP(B253,Classification!A:D,2,0)</f>
        <v>A</v>
      </c>
      <c r="BA253" s="94" t="str">
        <f>VLOOKUP(B253,Classification!A:D,4,0)</f>
        <v>Melatonin</v>
      </c>
      <c r="BB253" s="27" t="b">
        <f t="shared" si="2069"/>
        <v>1</v>
      </c>
      <c r="BC253" s="23">
        <f t="shared" si="2070"/>
        <v>248</v>
      </c>
      <c r="BD253" s="5" t="s">
        <v>23</v>
      </c>
      <c r="BE253" s="3" t="s">
        <v>1368</v>
      </c>
      <c r="BF253" s="118">
        <v>2.8</v>
      </c>
      <c r="BG253" s="49" t="s">
        <v>1275</v>
      </c>
      <c r="BH253" s="49" t="s">
        <v>1275</v>
      </c>
      <c r="BI253" s="1"/>
      <c r="BJ253" s="70" t="s">
        <v>1281</v>
      </c>
      <c r="BK253" s="57" t="s">
        <v>1281</v>
      </c>
      <c r="BL253" s="57" t="s">
        <v>1281</v>
      </c>
      <c r="BM253" s="57" t="s">
        <v>1281</v>
      </c>
      <c r="BN253" s="57" t="s">
        <v>1281</v>
      </c>
      <c r="BO253" s="57" t="s">
        <v>1281</v>
      </c>
      <c r="BP253" s="57" t="s">
        <v>1281</v>
      </c>
      <c r="BQ253" s="57" t="s">
        <v>1281</v>
      </c>
      <c r="BR253" s="57" t="s">
        <v>1281</v>
      </c>
      <c r="BS253" s="57" t="s">
        <v>1281</v>
      </c>
      <c r="BT253" s="57" t="s">
        <v>1281</v>
      </c>
      <c r="BU253" s="57" t="s">
        <v>1281</v>
      </c>
      <c r="BV253" s="70">
        <f t="shared" si="2071"/>
        <v>38</v>
      </c>
      <c r="BW253" s="71">
        <f t="shared" si="2072"/>
        <v>69</v>
      </c>
      <c r="BX253" s="72">
        <f t="shared" si="2073"/>
        <v>73</v>
      </c>
      <c r="BY253" s="71">
        <f t="shared" si="2074"/>
        <v>105</v>
      </c>
      <c r="BZ253" s="72">
        <f t="shared" si="2075"/>
        <v>110</v>
      </c>
      <c r="CA253" s="71">
        <f t="shared" si="2076"/>
        <v>145</v>
      </c>
      <c r="CB253" s="72">
        <f t="shared" si="2077"/>
        <v>153</v>
      </c>
      <c r="CC253" s="71">
        <f t="shared" si="2078"/>
        <v>190</v>
      </c>
      <c r="CD253" s="72">
        <f t="shared" si="2079"/>
        <v>197</v>
      </c>
      <c r="CE253" s="71">
        <f t="shared" si="2080"/>
        <v>250</v>
      </c>
      <c r="CF253" s="72">
        <f t="shared" si="2081"/>
        <v>286</v>
      </c>
      <c r="CG253" s="71">
        <f t="shared" si="2082"/>
        <v>312</v>
      </c>
      <c r="CH253" s="70">
        <f t="shared" si="2083"/>
        <v>67</v>
      </c>
      <c r="CI253" s="71">
        <f t="shared" si="2084"/>
        <v>72</v>
      </c>
      <c r="CJ253" s="72">
        <f t="shared" si="2085"/>
        <v>104</v>
      </c>
      <c r="CK253" s="72">
        <f t="shared" si="2086"/>
        <v>108</v>
      </c>
      <c r="CL253" s="72">
        <f t="shared" si="2087"/>
        <v>144</v>
      </c>
      <c r="CM253" s="72">
        <f t="shared" si="2088"/>
        <v>152</v>
      </c>
      <c r="CN253" s="72">
        <f t="shared" si="2089"/>
        <v>178</v>
      </c>
      <c r="CO253" s="72">
        <f t="shared" si="2090"/>
        <v>192</v>
      </c>
      <c r="CP253" s="72">
        <f t="shared" si="2091"/>
        <v>231</v>
      </c>
      <c r="CQ253" s="72">
        <f t="shared" si="2092"/>
        <v>277</v>
      </c>
      <c r="CR253" s="72">
        <f t="shared" si="2093"/>
        <v>311</v>
      </c>
      <c r="CS253" s="72">
        <f t="shared" si="2094"/>
        <v>328</v>
      </c>
      <c r="CT253" s="23">
        <f t="shared" si="2095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ref="A254" si="2096">CONCATENATE(B254,"_",C254)</f>
        <v>mtr1b_human_6ME7</v>
      </c>
      <c r="B254" s="3" t="s">
        <v>311</v>
      </c>
      <c r="C254" s="3" t="s">
        <v>1563</v>
      </c>
      <c r="D254" s="3" t="str">
        <f>IFERROR(MID(VLOOKUP($B254,Seqs!$A:$B,2,0),E254,1),"")</f>
        <v>W</v>
      </c>
      <c r="E254" s="3">
        <v>38</v>
      </c>
      <c r="F254" s="3" t="str">
        <f>IFERROR(MID(VLOOKUP($B254,Seqs!$A:$B,2,0),G254,1),"")</f>
        <v>N</v>
      </c>
      <c r="G254" s="3">
        <v>68</v>
      </c>
      <c r="H254" s="3" t="str">
        <f>IFERROR(MID(VLOOKUP($B254,Seqs!$A:$B,2,0),I254,1),"")</f>
        <v>R</v>
      </c>
      <c r="I254" s="23">
        <v>69</v>
      </c>
      <c r="J254" s="3" t="str">
        <f>IFERROR(MID(VLOOKUP($B254,Seqs!$A:$B,2,0),K254,1),"")</f>
        <v>R</v>
      </c>
      <c r="K254" s="23">
        <v>72</v>
      </c>
      <c r="L254" s="3" t="str">
        <f>IFERROR(MID(VLOOKUP($B254,Seqs!$A:$B,2,0),M254,1),"")</f>
        <v>G</v>
      </c>
      <c r="M254" s="3">
        <v>75</v>
      </c>
      <c r="N254" s="3" t="str">
        <f>IFERROR(MID(VLOOKUP($B254,Seqs!$A:$B,2,0),O254,1),"")</f>
        <v>D</v>
      </c>
      <c r="O254" s="3">
        <v>104</v>
      </c>
      <c r="P254" s="3" t="str">
        <f>IFERROR(MID(VLOOKUP($B254,Seqs!$A:$B,2,0),Q254,1),"")</f>
        <v>G</v>
      </c>
      <c r="Q254" s="3">
        <v>105</v>
      </c>
      <c r="R254" s="3" t="str">
        <f>IFERROR(MID(VLOOKUP($B254,Seqs!$A:$B,2,0),S254,1),"")</f>
        <v>L</v>
      </c>
      <c r="S254" s="3">
        <v>108</v>
      </c>
      <c r="T254" s="3" t="str">
        <f>IFERROR(MID(VLOOKUP($B254,Seqs!$A:$B,2,0),U254,1),"")</f>
        <v>G</v>
      </c>
      <c r="U254" s="3">
        <v>109</v>
      </c>
      <c r="V254" s="3" t="str">
        <f>IFERROR(MID(VLOOKUP($B254,Seqs!$A:$B,2,0),W254,1),"")</f>
        <v>H</v>
      </c>
      <c r="W254" s="3">
        <v>144</v>
      </c>
      <c r="X254" s="3" t="str">
        <f>IFERROR(MID(VLOOKUP($B254,Seqs!$A:$B,2,0),Y254,1),"")</f>
        <v>S</v>
      </c>
      <c r="Y254" s="3">
        <v>145</v>
      </c>
      <c r="Z254" s="3" t="str">
        <f>IFERROR(MID(VLOOKUP($B254,Seqs!$A:$B,2,0),AA254,1),"")</f>
        <v>Y</v>
      </c>
      <c r="AA254" s="3">
        <v>152</v>
      </c>
      <c r="AB254" s="3" t="str">
        <f>IFERROR(MID(VLOOKUP($B254,Seqs!$A:$B,2,0),AC254,1),"")</f>
        <v>R</v>
      </c>
      <c r="AC254" s="3">
        <v>153</v>
      </c>
      <c r="AD254" s="3" t="str">
        <f>IFERROR(MID(VLOOKUP($B254,Seqs!$A:$B,2,0),AE254,1),"")</f>
        <v>G</v>
      </c>
      <c r="AE254" s="3">
        <v>179</v>
      </c>
      <c r="AF254" s="3" t="str">
        <f>IFERROR(MID(VLOOKUP($B254,Seqs!$A:$B,2,0),AG254,1),"")</f>
        <v>C</v>
      </c>
      <c r="AG254" s="3">
        <v>190</v>
      </c>
      <c r="AH254" s="3" t="str">
        <f>IFERROR(MID(VLOOKUP($B254,Seqs!$A:$B,2,0),AI254,1),"")</f>
        <v>F</v>
      </c>
      <c r="AI254" s="3">
        <v>192</v>
      </c>
      <c r="AJ254" s="3" t="str">
        <f>IFERROR(MID(VLOOKUP($B254,Seqs!$A:$B,2,0),AK254,1),"")</f>
        <v>S</v>
      </c>
      <c r="AK254" s="3">
        <v>197</v>
      </c>
      <c r="AL254" s="3" t="str">
        <f>IFERROR(MID(VLOOKUP($B254,Seqs!$A:$B,2,0),AM254,1),"")</f>
        <v>A</v>
      </c>
      <c r="AM254" s="3">
        <v>230</v>
      </c>
      <c r="AN254" s="3" t="str">
        <f>IFERROR(MID(VLOOKUP($B254,Seqs!$A:$B,2,0),AO254,1),"")</f>
        <v>S</v>
      </c>
      <c r="AO254" s="3">
        <v>249</v>
      </c>
      <c r="AP254" s="3" t="str">
        <f>IFERROR(MID(VLOOKUP($B254,Seqs!$A:$B,2,0),AQ254,1),"")</f>
        <v>N</v>
      </c>
      <c r="AQ254" s="3">
        <v>277</v>
      </c>
      <c r="AR254" s="3" t="str">
        <f>IFERROR(MID(VLOOKUP($B254,Seqs!$A:$B,2,0),AS254,1),"")</f>
        <v>P</v>
      </c>
      <c r="AS254" s="3">
        <v>286</v>
      </c>
      <c r="AT254" s="3" t="str">
        <f>IFERROR(MID(VLOOKUP($B254,Seqs!$A:$B,2,0),AU254,1),"")</f>
        <v>L</v>
      </c>
      <c r="AU254" s="3">
        <v>311</v>
      </c>
      <c r="AV254" s="3" t="str">
        <f>IFERROR(MID(VLOOKUP($B254,Seqs!$A:$B,2,0),AW254,1),"")</f>
        <v>N</v>
      </c>
      <c r="AW254" s="3">
        <v>312</v>
      </c>
      <c r="AX254" s="3" t="str">
        <f>IFERROR(MID(VLOOKUP($B254,Seqs!$A:$B,2,0),AY254,1),"")</f>
        <v>N</v>
      </c>
      <c r="AY254" s="3">
        <v>328</v>
      </c>
      <c r="AZ254" s="77" t="str">
        <f>VLOOKUP(B254,Classification!A:D,2,0)</f>
        <v>A</v>
      </c>
      <c r="BA254" s="94" t="str">
        <f>VLOOKUP(B254,Classification!A:D,4,0)</f>
        <v>Melatonin</v>
      </c>
      <c r="BB254" s="27" t="b">
        <f t="shared" ref="BB254" si="2097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2098">_xlfn.AGGREGATE(9,6,CH254:CS254)-_xlfn.AGGREGATE(9,6,BV254:CG254)+12</f>
        <v>249</v>
      </c>
      <c r="BD254" s="5" t="s">
        <v>1370</v>
      </c>
      <c r="BE254" s="3" t="s">
        <v>1368</v>
      </c>
      <c r="BF254" s="118">
        <v>3.2</v>
      </c>
      <c r="BG254" s="49" t="s">
        <v>1</v>
      </c>
      <c r="BH254" s="49" t="s">
        <v>1</v>
      </c>
      <c r="BI254" s="1"/>
      <c r="BJ254" s="70" t="s">
        <v>1281</v>
      </c>
      <c r="BK254" s="57" t="s">
        <v>1281</v>
      </c>
      <c r="BL254" s="57" t="s">
        <v>1281</v>
      </c>
      <c r="BM254" s="57" t="s">
        <v>1281</v>
      </c>
      <c r="BN254" s="57" t="s">
        <v>1281</v>
      </c>
      <c r="BO254" s="57" t="s">
        <v>1281</v>
      </c>
      <c r="BP254" s="57" t="s">
        <v>1281</v>
      </c>
      <c r="BQ254" s="57" t="s">
        <v>1281</v>
      </c>
      <c r="BR254" s="57" t="s">
        <v>1281</v>
      </c>
      <c r="BS254" s="57" t="s">
        <v>1281</v>
      </c>
      <c r="BT254" s="57" t="s">
        <v>1281</v>
      </c>
      <c r="BU254" s="57" t="s">
        <v>1281</v>
      </c>
      <c r="BV254" s="70">
        <f t="shared" ref="BV254" si="2099">E254</f>
        <v>38</v>
      </c>
      <c r="BW254" s="71">
        <f t="shared" ref="BW254" si="2100">I254</f>
        <v>69</v>
      </c>
      <c r="BX254" s="72">
        <f t="shared" ref="BX254" si="2101">M254</f>
        <v>75</v>
      </c>
      <c r="BY254" s="71">
        <f t="shared" ref="BY254" si="2102">Q254</f>
        <v>105</v>
      </c>
      <c r="BZ254" s="72">
        <f t="shared" ref="BZ254" si="2103">U254</f>
        <v>109</v>
      </c>
      <c r="CA254" s="71">
        <f t="shared" ref="CA254" si="2104">Y254</f>
        <v>145</v>
      </c>
      <c r="CB254" s="72">
        <f t="shared" ref="CB254" si="2105">AC254</f>
        <v>153</v>
      </c>
      <c r="CC254" s="71">
        <f t="shared" ref="CC254" si="2106">AG254</f>
        <v>190</v>
      </c>
      <c r="CD254" s="72">
        <f t="shared" ref="CD254" si="2107">AK254</f>
        <v>197</v>
      </c>
      <c r="CE254" s="71">
        <f t="shared" ref="CE254" si="2108">AO254</f>
        <v>249</v>
      </c>
      <c r="CF254" s="72">
        <f t="shared" ref="CF254" si="2109">AS254</f>
        <v>286</v>
      </c>
      <c r="CG254" s="71">
        <f t="shared" ref="CG254" si="2110">AW254</f>
        <v>312</v>
      </c>
      <c r="CH254" s="70">
        <f t="shared" ref="CH254" si="2111">G254</f>
        <v>68</v>
      </c>
      <c r="CI254" s="71">
        <f t="shared" ref="CI254" si="2112">K254</f>
        <v>72</v>
      </c>
      <c r="CJ254" s="72">
        <f t="shared" ref="CJ254" si="2113">O254</f>
        <v>104</v>
      </c>
      <c r="CK254" s="72">
        <f t="shared" ref="CK254" si="2114">S254</f>
        <v>108</v>
      </c>
      <c r="CL254" s="72">
        <f t="shared" ref="CL254" si="2115">W254</f>
        <v>144</v>
      </c>
      <c r="CM254" s="72">
        <f t="shared" ref="CM254" si="2116">AA254</f>
        <v>152</v>
      </c>
      <c r="CN254" s="72">
        <f t="shared" ref="CN254" si="2117">AE254</f>
        <v>179</v>
      </c>
      <c r="CO254" s="72">
        <f t="shared" ref="CO254" si="2118">AI254</f>
        <v>192</v>
      </c>
      <c r="CP254" s="72">
        <f t="shared" ref="CP254" si="2119">AM254</f>
        <v>230</v>
      </c>
      <c r="CQ254" s="72">
        <f t="shared" ref="CQ254" si="2120">AQ254</f>
        <v>277</v>
      </c>
      <c r="CR254" s="72">
        <f t="shared" ref="CR254" si="2121">AU254</f>
        <v>311</v>
      </c>
      <c r="CS254" s="72">
        <f t="shared" ref="CS254" si="2122">AY254</f>
        <v>328</v>
      </c>
      <c r="CT254" s="23">
        <f t="shared" ref="CT254" si="2123">M254-K254</f>
        <v>3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ref="A255" si="2124">CONCATENATE(B255,"_",C255)</f>
        <v>mtr1b_human_6ME8</v>
      </c>
      <c r="B255" s="3" t="s">
        <v>311</v>
      </c>
      <c r="C255" s="3" t="s">
        <v>1564</v>
      </c>
      <c r="D255" s="3" t="str">
        <f>IFERROR(MID(VLOOKUP($B255,Seqs!$A:$B,2,0),E255,1),"")</f>
        <v>W</v>
      </c>
      <c r="E255" s="3">
        <v>38</v>
      </c>
      <c r="F255" s="3" t="str">
        <f>IFERROR(MID(VLOOKUP($B255,Seqs!$A:$B,2,0),G255,1),"")</f>
        <v>R</v>
      </c>
      <c r="G255" s="3">
        <v>67</v>
      </c>
      <c r="H255" s="3" t="str">
        <f>IFERROR(MID(VLOOKUP($B255,Seqs!$A:$B,2,0),I255,1),"")</f>
        <v>R</v>
      </c>
      <c r="I255" s="23">
        <v>69</v>
      </c>
      <c r="J255" s="3" t="str">
        <f>IFERROR(MID(VLOOKUP($B255,Seqs!$A:$B,2,0),K255,1),"")</f>
        <v>R</v>
      </c>
      <c r="K255" s="23">
        <v>72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D</v>
      </c>
      <c r="O255" s="3">
        <v>104</v>
      </c>
      <c r="P255" s="3" t="str">
        <f>IFERROR(MID(VLOOKUP($B255,Seqs!$A:$B,2,0),Q255,1),"")</f>
        <v>G</v>
      </c>
      <c r="Q255" s="3">
        <v>105</v>
      </c>
      <c r="R255" s="3" t="str">
        <f>IFERROR(MID(VLOOKUP($B255,Seqs!$A:$B,2,0),S255,1),"")</f>
        <v>L</v>
      </c>
      <c r="S255" s="3">
        <v>108</v>
      </c>
      <c r="T255" s="3" t="str">
        <f>IFERROR(MID(VLOOKUP($B255,Seqs!$A:$B,2,0),U255,1),"")</f>
        <v>G</v>
      </c>
      <c r="U255" s="3">
        <v>109</v>
      </c>
      <c r="V255" s="3" t="str">
        <f>IFERROR(MID(VLOOKUP($B255,Seqs!$A:$B,2,0),W255,1),"")</f>
        <v>C</v>
      </c>
      <c r="W255" s="3">
        <v>143</v>
      </c>
      <c r="X255" s="3" t="str">
        <f>IFERROR(MID(VLOOKUP($B255,Seqs!$A:$B,2,0),Y255,1),"")</f>
        <v>S</v>
      </c>
      <c r="Y255" s="3">
        <v>145</v>
      </c>
      <c r="Z255" s="3" t="str">
        <f>IFERROR(MID(VLOOKUP($B255,Seqs!$A:$B,2,0),AA255,1),"")</f>
        <v>Y</v>
      </c>
      <c r="AA255" s="3">
        <v>152</v>
      </c>
      <c r="AB255" s="3" t="str">
        <f>IFERROR(MID(VLOOKUP($B255,Seqs!$A:$B,2,0),AC255,1),"")</f>
        <v>H</v>
      </c>
      <c r="AC255" s="3">
        <v>156</v>
      </c>
      <c r="AD255" s="3" t="str">
        <f>IFERROR(MID(VLOOKUP($B255,Seqs!$A:$B,2,0),AE255,1),"")</f>
        <v>G</v>
      </c>
      <c r="AE255" s="3">
        <v>179</v>
      </c>
      <c r="AF255" s="3" t="str">
        <f>IFERROR(MID(VLOOKUP($B255,Seqs!$A:$B,2,0),AG255,1),"")</f>
        <v>C</v>
      </c>
      <c r="AG255" s="3">
        <v>190</v>
      </c>
      <c r="AH255" s="3" t="str">
        <f>IFERROR(MID(VLOOKUP($B255,Seqs!$A:$B,2,0),AI255,1),"")</f>
        <v>F</v>
      </c>
      <c r="AI255" s="3">
        <v>192</v>
      </c>
      <c r="AJ255" s="3" t="str">
        <f>IFERROR(MID(VLOOKUP($B255,Seqs!$A:$B,2,0),AK255,1),"")</f>
        <v>S</v>
      </c>
      <c r="AK255" s="3">
        <v>197</v>
      </c>
      <c r="AL255" s="3" t="str">
        <f>IFERROR(MID(VLOOKUP($B255,Seqs!$A:$B,2,0),AM255,1),"")</f>
        <v>A</v>
      </c>
      <c r="AM255" s="3">
        <v>230</v>
      </c>
      <c r="AN255" s="3" t="str">
        <f>IFERROR(MID(VLOOKUP($B255,Seqs!$A:$B,2,0),AO255,1),"")</f>
        <v>F</v>
      </c>
      <c r="AO255" s="3">
        <v>250</v>
      </c>
      <c r="AP255" s="3" t="str">
        <f>IFERROR(MID(VLOOKUP($B255,Seqs!$A:$B,2,0),AQ255,1),"")</f>
        <v>N</v>
      </c>
      <c r="AQ255" s="3">
        <v>277</v>
      </c>
      <c r="AR255" s="3" t="str">
        <f>IFERROR(MID(VLOOKUP($B255,Seqs!$A:$B,2,0),AS255,1),"")</f>
        <v>P</v>
      </c>
      <c r="AS255" s="3">
        <v>286</v>
      </c>
      <c r="AT255" s="3" t="str">
        <f>IFERROR(MID(VLOOKUP($B255,Seqs!$A:$B,2,0),AU255,1),"")</f>
        <v>L</v>
      </c>
      <c r="AU255" s="3">
        <v>311</v>
      </c>
      <c r="AV255" s="3" t="str">
        <f>IFERROR(MID(VLOOKUP($B255,Seqs!$A:$B,2,0),AW255,1),"")</f>
        <v>N</v>
      </c>
      <c r="AW255" s="3">
        <v>312</v>
      </c>
      <c r="AX255" s="3" t="str">
        <f>IFERROR(MID(VLOOKUP($B255,Seqs!$A:$B,2,0),AY255,1),"")</f>
        <v>N</v>
      </c>
      <c r="AY255" s="3">
        <v>328</v>
      </c>
      <c r="AZ255" s="77" t="str">
        <f>VLOOKUP(B255,Classification!A:D,2,0)</f>
        <v>A</v>
      </c>
      <c r="BA255" s="94" t="str">
        <f>VLOOKUP(B255,Classification!A:D,4,0)</f>
        <v>Melatonin</v>
      </c>
      <c r="BB255" s="27" t="b">
        <f t="shared" ref="BB255" si="2125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26">_xlfn.AGGREGATE(9,6,CH255:CS255)-_xlfn.AGGREGATE(9,6,BV255:CG255)+12</f>
        <v>245</v>
      </c>
      <c r="BD255" s="5" t="s">
        <v>23</v>
      </c>
      <c r="BE255" s="3" t="s">
        <v>1368</v>
      </c>
      <c r="BF255" s="118">
        <v>3.1</v>
      </c>
      <c r="BG255" s="49" t="s">
        <v>1275</v>
      </c>
      <c r="BH255" s="49" t="s">
        <v>1275</v>
      </c>
      <c r="BI255" s="1"/>
      <c r="BJ255" s="70" t="s">
        <v>1281</v>
      </c>
      <c r="BK255" s="57" t="s">
        <v>1281</v>
      </c>
      <c r="BL255" s="57" t="s">
        <v>1281</v>
      </c>
      <c r="BM255" s="57" t="s">
        <v>1281</v>
      </c>
      <c r="BN255" s="57" t="s">
        <v>1281</v>
      </c>
      <c r="BO255" s="57" t="s">
        <v>1281</v>
      </c>
      <c r="BP255" s="57" t="s">
        <v>1281</v>
      </c>
      <c r="BQ255" s="57" t="s">
        <v>1281</v>
      </c>
      <c r="BR255" s="57" t="s">
        <v>1281</v>
      </c>
      <c r="BS255" s="57" t="s">
        <v>1281</v>
      </c>
      <c r="BT255" s="57" t="s">
        <v>1281</v>
      </c>
      <c r="BU255" s="57" t="s">
        <v>1281</v>
      </c>
      <c r="BV255" s="70">
        <f t="shared" ref="BV255" si="2127">E255</f>
        <v>38</v>
      </c>
      <c r="BW255" s="71">
        <f t="shared" ref="BW255" si="2128">I255</f>
        <v>69</v>
      </c>
      <c r="BX255" s="72">
        <f t="shared" ref="BX255" si="2129">M255</f>
        <v>73</v>
      </c>
      <c r="BY255" s="71">
        <f t="shared" ref="BY255" si="2130">Q255</f>
        <v>105</v>
      </c>
      <c r="BZ255" s="72">
        <f t="shared" ref="BZ255" si="2131">U255</f>
        <v>109</v>
      </c>
      <c r="CA255" s="71">
        <f t="shared" ref="CA255" si="2132">Y255</f>
        <v>145</v>
      </c>
      <c r="CB255" s="72">
        <f t="shared" ref="CB255" si="2133">AC255</f>
        <v>156</v>
      </c>
      <c r="CC255" s="71">
        <f t="shared" ref="CC255" si="2134">AG255</f>
        <v>190</v>
      </c>
      <c r="CD255" s="72">
        <f t="shared" ref="CD255" si="2135">AK255</f>
        <v>197</v>
      </c>
      <c r="CE255" s="71">
        <f t="shared" ref="CE255" si="2136">AO255</f>
        <v>250</v>
      </c>
      <c r="CF255" s="72">
        <f t="shared" ref="CF255" si="2137">AS255</f>
        <v>286</v>
      </c>
      <c r="CG255" s="71">
        <f t="shared" ref="CG255" si="2138">AW255</f>
        <v>312</v>
      </c>
      <c r="CH255" s="70">
        <f t="shared" ref="CH255" si="2139">G255</f>
        <v>67</v>
      </c>
      <c r="CI255" s="71">
        <f t="shared" ref="CI255" si="2140">K255</f>
        <v>72</v>
      </c>
      <c r="CJ255" s="72">
        <f t="shared" ref="CJ255" si="2141">O255</f>
        <v>104</v>
      </c>
      <c r="CK255" s="72">
        <f t="shared" ref="CK255" si="2142">S255</f>
        <v>108</v>
      </c>
      <c r="CL255" s="72">
        <f t="shared" ref="CL255" si="2143">W255</f>
        <v>143</v>
      </c>
      <c r="CM255" s="72">
        <f t="shared" ref="CM255" si="2144">AA255</f>
        <v>152</v>
      </c>
      <c r="CN255" s="72">
        <f t="shared" ref="CN255" si="2145">AE255</f>
        <v>179</v>
      </c>
      <c r="CO255" s="72">
        <f t="shared" ref="CO255" si="2146">AI255</f>
        <v>192</v>
      </c>
      <c r="CP255" s="72">
        <f t="shared" ref="CP255" si="2147">AM255</f>
        <v>230</v>
      </c>
      <c r="CQ255" s="72">
        <f t="shared" ref="CQ255" si="2148">AQ255</f>
        <v>277</v>
      </c>
      <c r="CR255" s="72">
        <f t="shared" ref="CR255" si="2149">AU255</f>
        <v>311</v>
      </c>
      <c r="CS255" s="72">
        <f t="shared" ref="CS255" si="2150">AY255</f>
        <v>328</v>
      </c>
      <c r="CT255" s="23">
        <f t="shared" ref="CT255" si="2151">M255-K255</f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ref="A256" si="2152">CONCATENATE(B256,"_",C256)</f>
        <v>mtr1b_human_6ME9</v>
      </c>
      <c r="B256" s="3" t="s">
        <v>311</v>
      </c>
      <c r="C256" s="3" t="s">
        <v>1565</v>
      </c>
      <c r="D256" s="3" t="str">
        <f>IFERROR(MID(VLOOKUP($B256,Seqs!$A:$B,2,0),E256,1),"")</f>
        <v>W</v>
      </c>
      <c r="E256" s="3">
        <v>38</v>
      </c>
      <c r="F256" s="3" t="str">
        <f>IFERROR(MID(VLOOKUP($B256,Seqs!$A:$B,2,0),G256,1),"")</f>
        <v>R</v>
      </c>
      <c r="G256" s="3">
        <v>67</v>
      </c>
      <c r="H256" s="3" t="str">
        <f>IFERROR(MID(VLOOKUP($B256,Seqs!$A:$B,2,0),I256,1),"")</f>
        <v>R</v>
      </c>
      <c r="I256" s="23">
        <v>69</v>
      </c>
      <c r="J256" s="3" t="str">
        <f>IFERROR(MID(VLOOKUP($B256,Seqs!$A:$B,2,0),K256,1),"")</f>
        <v>R</v>
      </c>
      <c r="K256" s="23">
        <v>72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D</v>
      </c>
      <c r="O256" s="3">
        <v>104</v>
      </c>
      <c r="P256" s="3" t="str">
        <f>IFERROR(MID(VLOOKUP($B256,Seqs!$A:$B,2,0),Q256,1),"")</f>
        <v>G</v>
      </c>
      <c r="Q256" s="3">
        <v>105</v>
      </c>
      <c r="R256" s="3" t="str">
        <f>IFERROR(MID(VLOOKUP($B256,Seqs!$A:$B,2,0),S256,1),"")</f>
        <v>L</v>
      </c>
      <c r="S256" s="3">
        <v>108</v>
      </c>
      <c r="T256" s="3" t="str">
        <f>IFERROR(MID(VLOOKUP($B256,Seqs!$A:$B,2,0),U256,1),"")</f>
        <v>G</v>
      </c>
      <c r="U256" s="3">
        <v>109</v>
      </c>
      <c r="V256" s="3" t="str">
        <f>IFERROR(MID(VLOOKUP($B256,Seqs!$A:$B,2,0),W256,1),"")</f>
        <v>C</v>
      </c>
      <c r="W256" s="3">
        <v>143</v>
      </c>
      <c r="X256" s="3" t="str">
        <f>IFERROR(MID(VLOOKUP($B256,Seqs!$A:$B,2,0),Y256,1),"")</f>
        <v>S</v>
      </c>
      <c r="Y256" s="3">
        <v>145</v>
      </c>
      <c r="Z256" s="3" t="str">
        <f>IFERROR(MID(VLOOKUP($B256,Seqs!$A:$B,2,0),AA256,1),"")</f>
        <v>Y</v>
      </c>
      <c r="AA256" s="3">
        <v>152</v>
      </c>
      <c r="AB256" s="3" t="str">
        <f>IFERROR(MID(VLOOKUP($B256,Seqs!$A:$B,2,0),AC256,1),"")</f>
        <v>H</v>
      </c>
      <c r="AC256" s="3">
        <v>156</v>
      </c>
      <c r="AD256" s="3" t="str">
        <f>IFERROR(MID(VLOOKUP($B256,Seqs!$A:$B,2,0),AE256,1),"")</f>
        <v>G</v>
      </c>
      <c r="AE256" s="3">
        <v>179</v>
      </c>
      <c r="AF256" s="3" t="str">
        <f>IFERROR(MID(VLOOKUP($B256,Seqs!$A:$B,2,0),AG256,1),"")</f>
        <v>C</v>
      </c>
      <c r="AG256" s="3">
        <v>190</v>
      </c>
      <c r="AH256" s="3" t="str">
        <f>IFERROR(MID(VLOOKUP($B256,Seqs!$A:$B,2,0),AI256,1),"")</f>
        <v>F</v>
      </c>
      <c r="AI256" s="3">
        <v>192</v>
      </c>
      <c r="AJ256" s="3" t="str">
        <f>IFERROR(MID(VLOOKUP($B256,Seqs!$A:$B,2,0),AK256,1),"")</f>
        <v>S</v>
      </c>
      <c r="AK256" s="3">
        <v>197</v>
      </c>
      <c r="AL256" s="3" t="str">
        <f>IFERROR(MID(VLOOKUP($B256,Seqs!$A:$B,2,0),AM256,1),"")</f>
        <v>A</v>
      </c>
      <c r="AM256" s="3">
        <v>230</v>
      </c>
      <c r="AN256" s="3" t="str">
        <f>IFERROR(MID(VLOOKUP($B256,Seqs!$A:$B,2,0),AO256,1),"")</f>
        <v>F</v>
      </c>
      <c r="AO256" s="3">
        <v>250</v>
      </c>
      <c r="AP256" s="3" t="str">
        <f>IFERROR(MID(VLOOKUP($B256,Seqs!$A:$B,2,0),AQ256,1),"")</f>
        <v>N</v>
      </c>
      <c r="AQ256" s="3">
        <v>277</v>
      </c>
      <c r="AR256" s="3" t="str">
        <f>IFERROR(MID(VLOOKUP($B256,Seqs!$A:$B,2,0),AS256,1),"")</f>
        <v>P</v>
      </c>
      <c r="AS256" s="3">
        <v>286</v>
      </c>
      <c r="AT256" s="3" t="str">
        <f>IFERROR(MID(VLOOKUP($B256,Seqs!$A:$B,2,0),AU256,1),"")</f>
        <v>L</v>
      </c>
      <c r="AU256" s="3">
        <v>311</v>
      </c>
      <c r="AV256" s="3" t="str">
        <f>IFERROR(MID(VLOOKUP($B256,Seqs!$A:$B,2,0),AW256,1),"")</f>
        <v>N</v>
      </c>
      <c r="AW256" s="3">
        <v>312</v>
      </c>
      <c r="AX256" s="3" t="str">
        <f>IFERROR(MID(VLOOKUP($B256,Seqs!$A:$B,2,0),AY256,1),"")</f>
        <v>N</v>
      </c>
      <c r="AY256" s="3">
        <v>328</v>
      </c>
      <c r="AZ256" s="77" t="str">
        <f>VLOOKUP(B256,Classification!A:D,2,0)</f>
        <v>A</v>
      </c>
      <c r="BA256" s="94" t="str">
        <f>VLOOKUP(B256,Classification!A:D,4,0)</f>
        <v>Melatonin</v>
      </c>
      <c r="BB256" s="27" t="b">
        <f t="shared" ref="BB256" si="2153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4">_xlfn.AGGREGATE(9,6,CH256:CS256)-_xlfn.AGGREGATE(9,6,BV256:CG256)+12</f>
        <v>245</v>
      </c>
      <c r="BD256" s="5" t="s">
        <v>23</v>
      </c>
      <c r="BE256" s="3" t="s">
        <v>1368</v>
      </c>
      <c r="BF256" s="118">
        <v>3.3</v>
      </c>
      <c r="BG256" s="49" t="s">
        <v>1275</v>
      </c>
      <c r="BH256" s="49" t="s">
        <v>1275</v>
      </c>
      <c r="BI256" s="1"/>
      <c r="BJ256" s="70" t="s">
        <v>1281</v>
      </c>
      <c r="BK256" s="57" t="s">
        <v>1281</v>
      </c>
      <c r="BL256" s="57" t="s">
        <v>1281</v>
      </c>
      <c r="BM256" s="57" t="s">
        <v>1281</v>
      </c>
      <c r="BN256" s="57" t="s">
        <v>1281</v>
      </c>
      <c r="BO256" s="57" t="s">
        <v>1281</v>
      </c>
      <c r="BP256" s="57" t="s">
        <v>1281</v>
      </c>
      <c r="BQ256" s="57" t="s">
        <v>1281</v>
      </c>
      <c r="BR256" s="57" t="s">
        <v>1281</v>
      </c>
      <c r="BS256" s="57" t="s">
        <v>1281</v>
      </c>
      <c r="BT256" s="57" t="s">
        <v>1281</v>
      </c>
      <c r="BU256" s="57" t="s">
        <v>1281</v>
      </c>
      <c r="BV256" s="70">
        <f t="shared" ref="BV256" si="2155">E256</f>
        <v>38</v>
      </c>
      <c r="BW256" s="71">
        <f t="shared" ref="BW256" si="2156">I256</f>
        <v>69</v>
      </c>
      <c r="BX256" s="72">
        <f t="shared" ref="BX256" si="2157">M256</f>
        <v>73</v>
      </c>
      <c r="BY256" s="71">
        <f t="shared" ref="BY256" si="2158">Q256</f>
        <v>105</v>
      </c>
      <c r="BZ256" s="72">
        <f t="shared" ref="BZ256" si="2159">U256</f>
        <v>109</v>
      </c>
      <c r="CA256" s="71">
        <f t="shared" ref="CA256" si="2160">Y256</f>
        <v>145</v>
      </c>
      <c r="CB256" s="72">
        <f t="shared" ref="CB256" si="2161">AC256</f>
        <v>156</v>
      </c>
      <c r="CC256" s="71">
        <f t="shared" ref="CC256" si="2162">AG256</f>
        <v>190</v>
      </c>
      <c r="CD256" s="72">
        <f t="shared" ref="CD256" si="2163">AK256</f>
        <v>197</v>
      </c>
      <c r="CE256" s="71">
        <f t="shared" ref="CE256" si="2164">AO256</f>
        <v>250</v>
      </c>
      <c r="CF256" s="72">
        <f t="shared" ref="CF256" si="2165">AS256</f>
        <v>286</v>
      </c>
      <c r="CG256" s="71">
        <f t="shared" ref="CG256" si="2166">AW256</f>
        <v>312</v>
      </c>
      <c r="CH256" s="70">
        <f t="shared" ref="CH256" si="2167">G256</f>
        <v>67</v>
      </c>
      <c r="CI256" s="71">
        <f t="shared" ref="CI256" si="2168">K256</f>
        <v>72</v>
      </c>
      <c r="CJ256" s="72">
        <f t="shared" ref="CJ256" si="2169">O256</f>
        <v>104</v>
      </c>
      <c r="CK256" s="72">
        <f t="shared" ref="CK256" si="2170">S256</f>
        <v>108</v>
      </c>
      <c r="CL256" s="72">
        <f t="shared" ref="CL256" si="2171">W256</f>
        <v>143</v>
      </c>
      <c r="CM256" s="72">
        <f t="shared" ref="CM256" si="2172">AA256</f>
        <v>152</v>
      </c>
      <c r="CN256" s="72">
        <f t="shared" ref="CN256" si="2173">AE256</f>
        <v>179</v>
      </c>
      <c r="CO256" s="72">
        <f t="shared" ref="CO256" si="2174">AI256</f>
        <v>192</v>
      </c>
      <c r="CP256" s="72">
        <f t="shared" ref="CP256" si="2175">AM256</f>
        <v>230</v>
      </c>
      <c r="CQ256" s="72">
        <f t="shared" ref="CQ256" si="2176">AQ256</f>
        <v>277</v>
      </c>
      <c r="CR256" s="72">
        <f t="shared" ref="CR256" si="2177">AU256</f>
        <v>311</v>
      </c>
      <c r="CS256" s="72">
        <f t="shared" ref="CS256" si="2178">AY256</f>
        <v>328</v>
      </c>
      <c r="CT256" s="23">
        <f t="shared" ref="CT256" si="2179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" si="2180">CONCATENATE(B257,"_",C257)</f>
        <v>nk1r_human__wt</v>
      </c>
      <c r="B257" s="3" t="s">
        <v>313</v>
      </c>
      <c r="C257" s="132" t="s">
        <v>100</v>
      </c>
      <c r="D257" s="3" t="str">
        <f>IFERROR(MID(VLOOKUP($B257,Seqs!$A:$B,2,0),E257,1),"")</f>
        <v>P</v>
      </c>
      <c r="E257" s="3">
        <v>28</v>
      </c>
      <c r="F257" s="3" t="str">
        <f>IFERROR(MID(VLOOKUP($B257,Seqs!$A:$B,2,0),G257,1),"")</f>
        <v>H</v>
      </c>
      <c r="G257" s="3">
        <v>60</v>
      </c>
      <c r="H257" s="3" t="str">
        <f>IFERROR(MID(VLOOKUP($B257,Seqs!$A:$B,2,0),I257,1),"")</f>
        <v>K</v>
      </c>
      <c r="I257" s="23">
        <v>61</v>
      </c>
      <c r="J257" s="3" t="str">
        <f>IFERROR(MID(VLOOKUP($B257,Seqs!$A:$B,2,0),K257,1),"")</f>
        <v>R</v>
      </c>
      <c r="K257" s="23">
        <v>64</v>
      </c>
      <c r="L257" s="3" t="str">
        <f>IFERROR(MID(VLOOKUP($B257,Seqs!$A:$B,2,0),M257,1),"")</f>
        <v>T</v>
      </c>
      <c r="M257" s="3">
        <v>65</v>
      </c>
      <c r="N257" s="3" t="str">
        <f>IFERROR(MID(VLOOKUP($B257,Seqs!$A:$B,2,0),O257,1),"")</f>
        <v>N</v>
      </c>
      <c r="O257" s="3">
        <v>96</v>
      </c>
      <c r="P257" s="3" t="str">
        <f>IFERROR(MID(VLOOKUP($B257,Seqs!$A:$B,2,0),Q257,1),"")</f>
        <v>E</v>
      </c>
      <c r="Q257" s="3">
        <v>97</v>
      </c>
      <c r="R257" s="3" t="str">
        <f>IFERROR(MID(VLOOKUP($B257,Seqs!$A:$B,2,0),S257,1),"")</f>
        <v>Y</v>
      </c>
      <c r="S257" s="3">
        <v>100</v>
      </c>
      <c r="T257" s="3" t="str">
        <f>IFERROR(MID(VLOOKUP($B257,Seqs!$A:$B,2,0),U257,1),"")</f>
        <v>G</v>
      </c>
      <c r="U257" s="3">
        <v>101</v>
      </c>
      <c r="V257" s="3" t="str">
        <f>IFERROR(MID(VLOOKUP($B257,Seqs!$A:$B,2,0),W257,1),"")</f>
        <v>H</v>
      </c>
      <c r="W257" s="3">
        <v>136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S</v>
      </c>
      <c r="AC257" s="3">
        <v>143</v>
      </c>
      <c r="AD257" s="3" t="str">
        <f>IFERROR(MID(VLOOKUP($B257,Seqs!$A:$B,2,0),AE257,1),"")</f>
        <v>S</v>
      </c>
      <c r="AE257" s="3">
        <v>169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I</v>
      </c>
      <c r="AI257" s="3">
        <v>182</v>
      </c>
      <c r="AJ257" s="3" t="str">
        <f>IFERROR(MID(VLOOKUP($B257,Seqs!$A:$B,2,0),AK257,1),"")</f>
        <v>P</v>
      </c>
      <c r="AK257" s="3">
        <v>188</v>
      </c>
      <c r="AL257" s="3" t="str">
        <f>IFERROR(MID(VLOOKUP($B257,Seqs!$A:$B,2,0),AM257,1),"")</f>
        <v>D</v>
      </c>
      <c r="AM257" s="3">
        <v>231</v>
      </c>
      <c r="AN257" s="3" t="str">
        <f>IFERROR(MID(VLOOKUP($B257,Seqs!$A:$B,2,0),AO257,1),"")</f>
        <v>R</v>
      </c>
      <c r="AO257" s="3">
        <v>235</v>
      </c>
      <c r="AP257" s="3" t="str">
        <f>IFERROR(MID(VLOOKUP($B257,Seqs!$A:$B,2,0),AQ257,1),"")</f>
        <v>N</v>
      </c>
      <c r="AQ257" s="3">
        <v>274</v>
      </c>
      <c r="AR257" s="3" t="str">
        <f>IFERROR(MID(VLOOKUP($B257,Seqs!$A:$B,2,0),AS257,1),"")</f>
        <v>F</v>
      </c>
      <c r="AS257" s="3">
        <v>282</v>
      </c>
      <c r="AT257" s="3" t="str">
        <f>IFERROR(MID(VLOOKUP($B257,Seqs!$A:$B,2,0),AU257,1),"")</f>
        <v>L</v>
      </c>
      <c r="AU257" s="3">
        <v>308</v>
      </c>
      <c r="AV257" s="3" t="str">
        <f>IFERROR(MID(VLOOKUP($B257,Seqs!$A:$B,2,0),AW257,1),"")</f>
        <v>N</v>
      </c>
      <c r="AW257" s="3">
        <v>309</v>
      </c>
      <c r="AX257" s="3" t="str">
        <f>IFERROR(MID(VLOOKUP($B257,Seqs!$A:$B,2,0),AY257,1),"")</f>
        <v>F</v>
      </c>
      <c r="AY257" s="3">
        <v>320</v>
      </c>
      <c r="AZ257" s="77" t="str">
        <f>VLOOKUP(B257,Classification!A:D,2,0)</f>
        <v>A</v>
      </c>
      <c r="BA257" s="94" t="str">
        <f>VLOOKUP(B257,Classification!A:D,4,0)</f>
        <v>Tachykinin</v>
      </c>
      <c r="BB257" s="27" t="b">
        <f t="shared" ref="BB257" si="2181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2">_xlfn.AGGREGATE(9,6,CH257:CS257)-_xlfn.AGGREGATE(9,6,BV257:CG257)+12</f>
        <v>263</v>
      </c>
      <c r="BD257" s="5" t="s">
        <v>23</v>
      </c>
      <c r="BE257" s="3" t="s">
        <v>23</v>
      </c>
      <c r="BF257" s="118" t="s">
        <v>23</v>
      </c>
      <c r="BG257" s="49" t="s">
        <v>1371</v>
      </c>
      <c r="BH257" s="49" t="s">
        <v>1371</v>
      </c>
      <c r="BI257" s="1"/>
      <c r="BJ257" s="70" t="s">
        <v>1281</v>
      </c>
      <c r="BK257" s="57" t="s">
        <v>1281</v>
      </c>
      <c r="BL257" s="57" t="s">
        <v>1281</v>
      </c>
      <c r="BM257" s="57" t="s">
        <v>1281</v>
      </c>
      <c r="BN257" s="57" t="s">
        <v>1281</v>
      </c>
      <c r="BO257" s="57" t="s">
        <v>1281</v>
      </c>
      <c r="BP257" s="57" t="s">
        <v>1281</v>
      </c>
      <c r="BQ257" s="57" t="s">
        <v>1281</v>
      </c>
      <c r="BR257" s="57" t="s">
        <v>1281</v>
      </c>
      <c r="BS257" s="57" t="s">
        <v>1281</v>
      </c>
      <c r="BT257" s="57" t="s">
        <v>1281</v>
      </c>
      <c r="BU257" s="57" t="s">
        <v>1281</v>
      </c>
      <c r="BV257" s="70">
        <f t="shared" ref="BV257" si="2183">E257</f>
        <v>28</v>
      </c>
      <c r="BW257" s="71">
        <f t="shared" ref="BW257" si="2184">I257</f>
        <v>61</v>
      </c>
      <c r="BX257" s="72">
        <f t="shared" ref="BX257" si="2185">M257</f>
        <v>65</v>
      </c>
      <c r="BY257" s="71">
        <f t="shared" ref="BY257" si="2186">Q257</f>
        <v>97</v>
      </c>
      <c r="BZ257" s="72">
        <f t="shared" ref="BZ257" si="2187">U257</f>
        <v>101</v>
      </c>
      <c r="CA257" s="71" t="str">
        <f t="shared" ref="CA257" si="2188">Y257</f>
        <v>-</v>
      </c>
      <c r="CB257" s="72">
        <f t="shared" ref="CB257" si="2189">AC257</f>
        <v>143</v>
      </c>
      <c r="CC257" s="71">
        <f t="shared" ref="CC257" si="2190">AG257</f>
        <v>180</v>
      </c>
      <c r="CD257" s="72">
        <f t="shared" ref="CD257" si="2191">AK257</f>
        <v>188</v>
      </c>
      <c r="CE257" s="71">
        <f t="shared" ref="CE257" si="2192">AO257</f>
        <v>235</v>
      </c>
      <c r="CF257" s="72">
        <f t="shared" ref="CF257" si="2193">AS257</f>
        <v>282</v>
      </c>
      <c r="CG257" s="71">
        <f t="shared" ref="CG257" si="2194">AW257</f>
        <v>309</v>
      </c>
      <c r="CH257" s="70">
        <f t="shared" ref="CH257" si="2195">G257</f>
        <v>60</v>
      </c>
      <c r="CI257" s="71">
        <f t="shared" ref="CI257" si="2196">K257</f>
        <v>64</v>
      </c>
      <c r="CJ257" s="72">
        <f t="shared" ref="CJ257" si="2197">O257</f>
        <v>96</v>
      </c>
      <c r="CK257" s="72">
        <f t="shared" ref="CK257" si="2198">S257</f>
        <v>100</v>
      </c>
      <c r="CL257" s="72">
        <f t="shared" ref="CL257" si="2199">W257</f>
        <v>136</v>
      </c>
      <c r="CM257" s="72" t="str">
        <f t="shared" ref="CM257" si="2200">AA257</f>
        <v>-</v>
      </c>
      <c r="CN257" s="72">
        <f t="shared" ref="CN257" si="2201">AE257</f>
        <v>169</v>
      </c>
      <c r="CO257" s="72">
        <f t="shared" ref="CO257" si="2202">AI257</f>
        <v>182</v>
      </c>
      <c r="CP257" s="72">
        <f t="shared" ref="CP257" si="2203">AM257</f>
        <v>231</v>
      </c>
      <c r="CQ257" s="72">
        <f t="shared" ref="CQ257" si="2204">AQ257</f>
        <v>274</v>
      </c>
      <c r="CR257" s="72">
        <f t="shared" ref="CR257" si="2205">AU257</f>
        <v>308</v>
      </c>
      <c r="CS257" s="72">
        <f t="shared" ref="CS257" si="2206">AY257</f>
        <v>320</v>
      </c>
      <c r="CT257" s="23">
        <f t="shared" ref="CT257" si="2207"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" si="2208">CONCATENATE(B258,"_",C258)</f>
        <v>nk1r_human_6E59</v>
      </c>
      <c r="B258" s="3" t="s">
        <v>313</v>
      </c>
      <c r="C258" s="133" t="s">
        <v>1529</v>
      </c>
      <c r="D258" s="3" t="str">
        <f>IFERROR(MID(VLOOKUP($B258,Seqs!$A:$B,2,0),E258,1),"")</f>
        <v>V</v>
      </c>
      <c r="E258" s="3">
        <v>33</v>
      </c>
      <c r="F258" s="3" t="str">
        <f>IFERROR(MID(VLOOKUP($B258,Seqs!$A:$B,2,0),G258,1),"")</f>
        <v>H</v>
      </c>
      <c r="G258" s="3">
        <v>60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65</v>
      </c>
      <c r="N258" s="3" t="str">
        <f>IFERROR(MID(VLOOKUP($B258,Seqs!$A:$B,2,0),O258,1),"")</f>
        <v>V</v>
      </c>
      <c r="O258" s="3">
        <v>94</v>
      </c>
      <c r="P258" s="3" t="str">
        <f>IFERROR(MID(VLOOKUP($B258,Seqs!$A:$B,2,0),Q258,1),"")</f>
        <v>E</v>
      </c>
      <c r="Q258" s="3">
        <v>97</v>
      </c>
      <c r="R258" s="3" t="str">
        <f>IFERROR(MID(VLOOKUP($B258,Seqs!$A:$B,2,0),S258,1),"")</f>
        <v>Y</v>
      </c>
      <c r="S258" s="3">
        <v>100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H</v>
      </c>
      <c r="W258" s="3">
        <v>136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S</v>
      </c>
      <c r="AC258" s="3">
        <v>143</v>
      </c>
      <c r="AD258" s="3" t="str">
        <f>IFERROR(MID(VLOOKUP($B258,Seqs!$A:$B,2,0),AE258,1),"")</f>
        <v>S</v>
      </c>
      <c r="AE258" s="3">
        <v>169</v>
      </c>
      <c r="AF258" s="3" t="str">
        <f>IFERROR(MID(VLOOKUP($B258,Seqs!$A:$B,2,0),AG258,1),"")</f>
        <v>C</v>
      </c>
      <c r="AG258" s="3">
        <v>180</v>
      </c>
      <c r="AH258" s="3" t="str">
        <f>IFERROR(MID(VLOOKUP($B258,Seqs!$A:$B,2,0),AI258,1),"")</f>
        <v>I</v>
      </c>
      <c r="AI258" s="3">
        <v>182</v>
      </c>
      <c r="AJ258" s="3" t="str">
        <f>IFERROR(MID(VLOOKUP($B258,Seqs!$A:$B,2,0),AK258,1),"")</f>
        <v>P</v>
      </c>
      <c r="AK258" s="3">
        <v>188</v>
      </c>
      <c r="AL258" s="3" t="str">
        <f>IFERROR(MID(VLOOKUP($B258,Seqs!$A:$B,2,0),AM258,1),"")</f>
        <v>W</v>
      </c>
      <c r="AM258" s="3">
        <v>224</v>
      </c>
      <c r="AN258" s="3" t="str">
        <f>IFERROR(MID(VLOOKUP($B258,Seqs!$A:$B,2,0),AO258,1),"")</f>
        <v>E</v>
      </c>
      <c r="AO258" s="3">
        <v>238</v>
      </c>
      <c r="AP258" s="3" t="str">
        <f>IFERROR(MID(VLOOKUP($B258,Seqs!$A:$B,2,0),AQ258,1),"")</f>
        <v>N</v>
      </c>
      <c r="AQ258" s="3">
        <v>274</v>
      </c>
      <c r="AR258" s="3" t="str">
        <f>IFERROR(MID(VLOOKUP($B258,Seqs!$A:$B,2,0),AS258,1),"")</f>
        <v>I</v>
      </c>
      <c r="AS258" s="3">
        <v>283</v>
      </c>
      <c r="AT258" s="3" t="str">
        <f>IFERROR(MID(VLOOKUP($B258,Seqs!$A:$B,2,0),AU258,1),"")</f>
        <v>L</v>
      </c>
      <c r="AU258" s="3">
        <v>308</v>
      </c>
      <c r="AV258" s="3" t="str">
        <f>IFERROR(MID(VLOOKUP($B258,Seqs!$A:$B,2,0),AW258,1),"")</f>
        <v>N</v>
      </c>
      <c r="AW258" s="3">
        <v>309</v>
      </c>
      <c r="AX258" s="3" t="str">
        <f>IFERROR(MID(VLOOKUP($B258,Seqs!$A:$B,2,0),AY258,1),"")</f>
        <v>H</v>
      </c>
      <c r="AY258" s="3">
        <v>318</v>
      </c>
      <c r="AZ258" s="77" t="str">
        <f>VLOOKUP(B258,Classification!A:D,2,0)</f>
        <v>A</v>
      </c>
      <c r="BA258" s="94" t="str">
        <f>VLOOKUP(B258,Classification!A:D,4,0)</f>
        <v>Tachykinin</v>
      </c>
      <c r="BB258" s="27" t="b">
        <f t="shared" ref="BB258" si="2209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10">_xlfn.AGGREGATE(9,6,CH258:CS258)-_xlfn.AGGREGATE(9,6,BV258:CG258)+12</f>
        <v>238</v>
      </c>
      <c r="BD258" s="5" t="s">
        <v>23</v>
      </c>
      <c r="BE258" s="3" t="s">
        <v>1368</v>
      </c>
      <c r="BF258" s="118">
        <v>3.4</v>
      </c>
      <c r="BG258" s="49" t="s">
        <v>1</v>
      </c>
      <c r="BH258" s="49" t="s">
        <v>1</v>
      </c>
      <c r="BI258" s="1"/>
      <c r="BJ258" s="70" t="s">
        <v>1281</v>
      </c>
      <c r="BK258" s="57" t="s">
        <v>1281</v>
      </c>
      <c r="BL258" s="57" t="s">
        <v>1281</v>
      </c>
      <c r="BM258" s="57" t="s">
        <v>1281</v>
      </c>
      <c r="BN258" s="57" t="s">
        <v>1281</v>
      </c>
      <c r="BO258" s="57" t="s">
        <v>1281</v>
      </c>
      <c r="BP258" s="57" t="s">
        <v>1281</v>
      </c>
      <c r="BQ258" s="57" t="s">
        <v>1281</v>
      </c>
      <c r="BR258" s="57" t="s">
        <v>1281</v>
      </c>
      <c r="BS258" s="57" t="s">
        <v>1281</v>
      </c>
      <c r="BT258" s="57" t="s">
        <v>1281</v>
      </c>
      <c r="BU258" s="57" t="s">
        <v>1281</v>
      </c>
      <c r="BV258" s="70">
        <f t="shared" ref="BV258" si="2211">E258</f>
        <v>33</v>
      </c>
      <c r="BW258" s="71" t="str">
        <f t="shared" ref="BW258" si="2212">I258</f>
        <v>-</v>
      </c>
      <c r="BX258" s="72">
        <f t="shared" ref="BX258" si="2213">M258</f>
        <v>65</v>
      </c>
      <c r="BY258" s="71">
        <f t="shared" ref="BY258" si="2214">Q258</f>
        <v>97</v>
      </c>
      <c r="BZ258" s="72">
        <f t="shared" ref="BZ258" si="2215">U258</f>
        <v>103</v>
      </c>
      <c r="CA258" s="71" t="str">
        <f t="shared" ref="CA258" si="2216">Y258</f>
        <v>-</v>
      </c>
      <c r="CB258" s="72">
        <f t="shared" ref="CB258" si="2217">AC258</f>
        <v>143</v>
      </c>
      <c r="CC258" s="71">
        <f t="shared" ref="CC258" si="2218">AG258</f>
        <v>180</v>
      </c>
      <c r="CD258" s="72">
        <f t="shared" ref="CD258" si="2219">AK258</f>
        <v>188</v>
      </c>
      <c r="CE258" s="71">
        <f t="shared" ref="CE258" si="2220">AO258</f>
        <v>238</v>
      </c>
      <c r="CF258" s="72">
        <f t="shared" ref="CF258" si="2221">AS258</f>
        <v>283</v>
      </c>
      <c r="CG258" s="71">
        <f t="shared" ref="CG258" si="2222">AW258</f>
        <v>309</v>
      </c>
      <c r="CH258" s="70">
        <f t="shared" ref="CH258" si="2223">G258</f>
        <v>60</v>
      </c>
      <c r="CI258" s="71" t="str">
        <f t="shared" ref="CI258" si="2224">K258</f>
        <v>-</v>
      </c>
      <c r="CJ258" s="72">
        <f t="shared" ref="CJ258" si="2225">O258</f>
        <v>94</v>
      </c>
      <c r="CK258" s="72">
        <f t="shared" ref="CK258" si="2226">S258</f>
        <v>100</v>
      </c>
      <c r="CL258" s="72">
        <f t="shared" ref="CL258" si="2227">W258</f>
        <v>136</v>
      </c>
      <c r="CM258" s="72" t="str">
        <f t="shared" ref="CM258" si="2228">AA258</f>
        <v>-</v>
      </c>
      <c r="CN258" s="72">
        <f t="shared" ref="CN258" si="2229">AE258</f>
        <v>169</v>
      </c>
      <c r="CO258" s="72">
        <f t="shared" ref="CO258" si="2230">AI258</f>
        <v>182</v>
      </c>
      <c r="CP258" s="72">
        <f t="shared" ref="CP258" si="2231">AM258</f>
        <v>224</v>
      </c>
      <c r="CQ258" s="72">
        <f t="shared" ref="CQ258" si="2232">AQ258</f>
        <v>274</v>
      </c>
      <c r="CR258" s="72">
        <f t="shared" ref="CR258" si="2233">AU258</f>
        <v>308</v>
      </c>
      <c r="CS258" s="72">
        <f t="shared" ref="CS258" si="2234">AY258</f>
        <v>318</v>
      </c>
      <c r="CT258" s="23" t="e">
        <f t="shared" ref="CT258" si="2235"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ref="A259" si="2236">CONCATENATE(B259,"_",C259)</f>
        <v>nk1r_human_6HLL</v>
      </c>
      <c r="B259" s="3" t="s">
        <v>313</v>
      </c>
      <c r="C259" s="133" t="s">
        <v>1537</v>
      </c>
      <c r="D259" s="3" t="str">
        <f>IFERROR(MID(VLOOKUP($B259,Seqs!$A:$B,2,0),E259,1),"")</f>
        <v>P</v>
      </c>
      <c r="E259" s="3">
        <v>28</v>
      </c>
      <c r="F259" s="3" t="str">
        <f>IFERROR(MID(VLOOKUP($B259,Seqs!$A:$B,2,0),G259,1),"")</f>
        <v>A</v>
      </c>
      <c r="G259" s="3">
        <v>59</v>
      </c>
      <c r="H259" s="3" t="str">
        <f>IFERROR(MID(VLOOKUP($B259,Seqs!$A:$B,2,0),I259,1),"")</f>
        <v>K</v>
      </c>
      <c r="I259" s="23">
        <v>61</v>
      </c>
      <c r="J259" s="3" t="str">
        <f>IFERROR(MID(VLOOKUP($B259,Seqs!$A:$B,2,0),K259,1),"")</f>
        <v>R</v>
      </c>
      <c r="K259" s="23">
        <v>64</v>
      </c>
      <c r="L259" s="3" t="str">
        <f>IFERROR(MID(VLOOKUP($B259,Seqs!$A:$B,2,0),M259,1),"")</f>
        <v>T</v>
      </c>
      <c r="M259" s="3">
        <v>65</v>
      </c>
      <c r="N259" s="3" t="str">
        <f>IFERROR(MID(VLOOKUP($B259,Seqs!$A:$B,2,0),O259,1),"")</f>
        <v>N</v>
      </c>
      <c r="O259" s="3">
        <v>96</v>
      </c>
      <c r="P259" s="3" t="str">
        <f>IFERROR(MID(VLOOKUP($B259,Seqs!$A:$B,2,0),Q259,1),"")</f>
        <v>E</v>
      </c>
      <c r="Q259" s="3">
        <v>97</v>
      </c>
      <c r="R259" s="3" t="str">
        <f>IFERROR(MID(VLOOKUP($B259,Seqs!$A:$B,2,0),S259,1),"")</f>
        <v>Y</v>
      </c>
      <c r="S259" s="3">
        <v>100</v>
      </c>
      <c r="T259" s="3" t="str">
        <f>IFERROR(MID(VLOOKUP($B259,Seqs!$A:$B,2,0),U259,1),"")</f>
        <v>G</v>
      </c>
      <c r="U259" s="3">
        <v>101</v>
      </c>
      <c r="V259" s="3" t="str">
        <f>IFERROR(MID(VLOOKUP($B259,Seqs!$A:$B,2,0),W259,1),"")</f>
        <v>H</v>
      </c>
      <c r="W259" s="3">
        <v>136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S</v>
      </c>
      <c r="AC259" s="3">
        <v>143</v>
      </c>
      <c r="AD259" s="3" t="str">
        <f>IFERROR(MID(VLOOKUP($B259,Seqs!$A:$B,2,0),AE259,1),"")</f>
        <v>S</v>
      </c>
      <c r="AE259" s="3">
        <v>169</v>
      </c>
      <c r="AF259" s="3" t="str">
        <f>IFERROR(MID(VLOOKUP($B259,Seqs!$A:$B,2,0),AG259,1),"")</f>
        <v>C</v>
      </c>
      <c r="AG259" s="3">
        <v>180</v>
      </c>
      <c r="AH259" s="3" t="str">
        <f>IFERROR(MID(VLOOKUP($B259,Seqs!$A:$B,2,0),AI259,1),"")</f>
        <v>I</v>
      </c>
      <c r="AI259" s="3">
        <v>182</v>
      </c>
      <c r="AJ259" s="3" t="str">
        <f>IFERROR(MID(VLOOKUP($B259,Seqs!$A:$B,2,0),AK259,1),"")</f>
        <v>K</v>
      </c>
      <c r="AK259" s="3">
        <v>190</v>
      </c>
      <c r="AL259" s="3" t="str">
        <f>IFERROR(MID(VLOOKUP($B259,Seqs!$A:$B,2,0),AM259,1),"")</f>
        <v>S</v>
      </c>
      <c r="AM259" s="3">
        <v>226</v>
      </c>
      <c r="AN259" s="3" t="str">
        <f>IFERROR(MID(VLOOKUP($B259,Seqs!$A:$B,2,0),AO259,1),"")</f>
        <v>E</v>
      </c>
      <c r="AO259" s="3">
        <v>238</v>
      </c>
      <c r="AP259" s="3" t="str">
        <f>IFERROR(MID(VLOOKUP($B259,Seqs!$A:$B,2,0),AQ259,1),"")</f>
        <v>L</v>
      </c>
      <c r="AQ259" s="3">
        <v>270</v>
      </c>
      <c r="AR259" s="3" t="str">
        <f>IFERROR(MID(VLOOKUP($B259,Seqs!$A:$B,2,0),AS259,1),"")</f>
        <v>I</v>
      </c>
      <c r="AS259" s="3">
        <v>283</v>
      </c>
      <c r="AT259" s="3" t="str">
        <f>IFERROR(MID(VLOOKUP($B259,Seqs!$A:$B,2,0),AU259,1),"")</f>
        <v>L</v>
      </c>
      <c r="AU259" s="3">
        <v>308</v>
      </c>
      <c r="AV259" s="3" t="str">
        <f>IFERROR(MID(VLOOKUP($B259,Seqs!$A:$B,2,0),AW259,1),"")</f>
        <v>N</v>
      </c>
      <c r="AW259" s="3">
        <v>309</v>
      </c>
      <c r="AX259" s="3" t="str">
        <f>IFERROR(MID(VLOOKUP($B259,Seqs!$A:$B,2,0),AY259,1),"")</f>
        <v>F</v>
      </c>
      <c r="AY259" s="3">
        <v>320</v>
      </c>
      <c r="AZ259" s="77" t="str">
        <f>VLOOKUP(B259,Classification!A:D,2,0)</f>
        <v>A</v>
      </c>
      <c r="BA259" s="94" t="str">
        <f>VLOOKUP(B259,Classification!A:D,4,0)</f>
        <v>Tachykinin</v>
      </c>
      <c r="BB259" s="27" t="b">
        <f t="shared" ref="BB259" si="2237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8">_xlfn.AGGREGATE(9,6,CH259:CS259)-_xlfn.AGGREGATE(9,6,BV259:CG259)+12</f>
        <v>247</v>
      </c>
      <c r="BD259" s="5" t="s">
        <v>23</v>
      </c>
      <c r="BE259" s="3" t="s">
        <v>1368</v>
      </c>
      <c r="BF259" s="118">
        <v>3.27</v>
      </c>
      <c r="BG259" s="49" t="s">
        <v>1</v>
      </c>
      <c r="BH259" s="49" t="s">
        <v>1</v>
      </c>
      <c r="BI259" s="1"/>
      <c r="BJ259" s="70" t="s">
        <v>1281</v>
      </c>
      <c r="BK259" s="57" t="s">
        <v>1281</v>
      </c>
      <c r="BL259" s="57" t="s">
        <v>1281</v>
      </c>
      <c r="BM259" s="57" t="s">
        <v>1281</v>
      </c>
      <c r="BN259" s="57" t="s">
        <v>1281</v>
      </c>
      <c r="BO259" s="57" t="s">
        <v>1281</v>
      </c>
      <c r="BP259" s="57" t="s">
        <v>1281</v>
      </c>
      <c r="BQ259" s="57" t="s">
        <v>1281</v>
      </c>
      <c r="BR259" s="57" t="s">
        <v>1281</v>
      </c>
      <c r="BS259" s="57" t="s">
        <v>1281</v>
      </c>
      <c r="BT259" s="57" t="s">
        <v>1281</v>
      </c>
      <c r="BU259" s="57" t="s">
        <v>1281</v>
      </c>
      <c r="BV259" s="70">
        <f t="shared" ref="BV259" si="2239">E259</f>
        <v>28</v>
      </c>
      <c r="BW259" s="71">
        <f t="shared" ref="BW259" si="2240">I259</f>
        <v>61</v>
      </c>
      <c r="BX259" s="72">
        <f t="shared" ref="BX259" si="2241">M259</f>
        <v>65</v>
      </c>
      <c r="BY259" s="71">
        <f t="shared" ref="BY259" si="2242">Q259</f>
        <v>97</v>
      </c>
      <c r="BZ259" s="72">
        <f t="shared" ref="BZ259" si="2243">U259</f>
        <v>101</v>
      </c>
      <c r="CA259" s="71" t="str">
        <f t="shared" ref="CA259" si="2244">Y259</f>
        <v>-</v>
      </c>
      <c r="CB259" s="72">
        <f t="shared" ref="CB259" si="2245">AC259</f>
        <v>143</v>
      </c>
      <c r="CC259" s="71">
        <f t="shared" ref="CC259" si="2246">AG259</f>
        <v>180</v>
      </c>
      <c r="CD259" s="72">
        <f t="shared" ref="CD259" si="2247">AK259</f>
        <v>190</v>
      </c>
      <c r="CE259" s="71">
        <f t="shared" ref="CE259" si="2248">AO259</f>
        <v>238</v>
      </c>
      <c r="CF259" s="72">
        <f t="shared" ref="CF259" si="2249">AS259</f>
        <v>283</v>
      </c>
      <c r="CG259" s="71">
        <f t="shared" ref="CG259" si="2250">AW259</f>
        <v>309</v>
      </c>
      <c r="CH259" s="70">
        <f t="shared" ref="CH259" si="2251">G259</f>
        <v>59</v>
      </c>
      <c r="CI259" s="71">
        <f t="shared" ref="CI259" si="2252">K259</f>
        <v>64</v>
      </c>
      <c r="CJ259" s="72">
        <f t="shared" ref="CJ259" si="2253">O259</f>
        <v>96</v>
      </c>
      <c r="CK259" s="72">
        <f t="shared" ref="CK259" si="2254">S259</f>
        <v>100</v>
      </c>
      <c r="CL259" s="72">
        <f t="shared" ref="CL259" si="2255">W259</f>
        <v>136</v>
      </c>
      <c r="CM259" s="72" t="str">
        <f t="shared" ref="CM259" si="2256">AA259</f>
        <v>-</v>
      </c>
      <c r="CN259" s="72">
        <f t="shared" ref="CN259" si="2257">AE259</f>
        <v>169</v>
      </c>
      <c r="CO259" s="72">
        <f t="shared" ref="CO259" si="2258">AI259</f>
        <v>182</v>
      </c>
      <c r="CP259" s="72">
        <f t="shared" ref="CP259" si="2259">AM259</f>
        <v>226</v>
      </c>
      <c r="CQ259" s="72">
        <f t="shared" ref="CQ259" si="2260">AQ259</f>
        <v>270</v>
      </c>
      <c r="CR259" s="72">
        <f t="shared" ref="CR259" si="2261">AU259</f>
        <v>308</v>
      </c>
      <c r="CS259" s="72">
        <f t="shared" ref="CS259" si="2262">AY259</f>
        <v>320</v>
      </c>
      <c r="CT259" s="23">
        <f t="shared" ref="CT259" si="2263">M259-K259</f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ref="A260" si="2264">CONCATENATE(B260,"_",C260)</f>
        <v>nk1r_human_6HLO</v>
      </c>
      <c r="B260" s="3" t="s">
        <v>313</v>
      </c>
      <c r="C260" s="133" t="s">
        <v>1538</v>
      </c>
      <c r="D260" s="3" t="str">
        <f>IFERROR(MID(VLOOKUP($B260,Seqs!$A:$B,2,0),E260,1),"")</f>
        <v>P</v>
      </c>
      <c r="E260" s="3">
        <v>28</v>
      </c>
      <c r="F260" s="3" t="str">
        <f>IFERROR(MID(VLOOKUP($B260,Seqs!$A:$B,2,0),G260,1),"")</f>
        <v>H</v>
      </c>
      <c r="G260" s="3">
        <v>60</v>
      </c>
      <c r="H260" s="3" t="str">
        <f>IFERROR(MID(VLOOKUP($B260,Seqs!$A:$B,2,0),I260,1),"")</f>
        <v>K</v>
      </c>
      <c r="I260" s="23">
        <v>61</v>
      </c>
      <c r="J260" s="3" t="str">
        <f>IFERROR(MID(VLOOKUP($B260,Seqs!$A:$B,2,0),K260,1),"")</f>
        <v>R</v>
      </c>
      <c r="K260" s="23">
        <v>64</v>
      </c>
      <c r="L260" s="3" t="str">
        <f>IFERROR(MID(VLOOKUP($B260,Seqs!$A:$B,2,0),M260,1),"")</f>
        <v>T</v>
      </c>
      <c r="M260" s="3">
        <v>65</v>
      </c>
      <c r="N260" s="3" t="str">
        <f>IFERROR(MID(VLOOKUP($B260,Seqs!$A:$B,2,0),O260,1),"")</f>
        <v>H</v>
      </c>
      <c r="O260" s="3">
        <v>95</v>
      </c>
      <c r="P260" s="3" t="str">
        <f>IFERROR(MID(VLOOKUP($B260,Seqs!$A:$B,2,0),Q260,1),"")</f>
        <v>E</v>
      </c>
      <c r="Q260" s="3">
        <v>97</v>
      </c>
      <c r="R260" s="3" t="str">
        <f>IFERROR(MID(VLOOKUP($B260,Seqs!$A:$B,2,0),S260,1),"")</f>
        <v>Y</v>
      </c>
      <c r="S260" s="3">
        <v>100</v>
      </c>
      <c r="T260" s="3" t="str">
        <f>IFERROR(MID(VLOOKUP($B260,Seqs!$A:$B,2,0),U260,1),"")</f>
        <v>G</v>
      </c>
      <c r="U260" s="3">
        <v>101</v>
      </c>
      <c r="V260" s="3" t="str">
        <f>IFERROR(MID(VLOOKUP($B260,Seqs!$A:$B,2,0),W260,1),"")</f>
        <v>H</v>
      </c>
      <c r="W260" s="3">
        <v>136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S</v>
      </c>
      <c r="AC260" s="3">
        <v>143</v>
      </c>
      <c r="AD260" s="3" t="str">
        <f>IFERROR(MID(VLOOKUP($B260,Seqs!$A:$B,2,0),AE260,1),"")</f>
        <v>S</v>
      </c>
      <c r="AE260" s="3">
        <v>169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I</v>
      </c>
      <c r="AI260" s="3">
        <v>182</v>
      </c>
      <c r="AJ260" s="3" t="str">
        <f>IFERROR(MID(VLOOKUP($B260,Seqs!$A:$B,2,0),AK260,1),"")</f>
        <v>K</v>
      </c>
      <c r="AK260" s="3">
        <v>190</v>
      </c>
      <c r="AL260" s="3" t="str">
        <f>IFERROR(MID(VLOOKUP($B260,Seqs!$A:$B,2,0),AM260,1),"")</f>
        <v>S</v>
      </c>
      <c r="AM260" s="3">
        <v>226</v>
      </c>
      <c r="AN260" s="3" t="str">
        <f>IFERROR(MID(VLOOKUP($B260,Seqs!$A:$B,2,0),AO260,1),"")</f>
        <v>E</v>
      </c>
      <c r="AO260" s="3">
        <v>238</v>
      </c>
      <c r="AP260" s="3" t="str">
        <f>IFERROR(MID(VLOOKUP($B260,Seqs!$A:$B,2,0),AQ260,1),"")</f>
        <v>N</v>
      </c>
      <c r="AQ260" s="3">
        <v>274</v>
      </c>
      <c r="AR260" s="3" t="str">
        <f>IFERROR(MID(VLOOKUP($B260,Seqs!$A:$B,2,0),AS260,1),"")</f>
        <v>F</v>
      </c>
      <c r="AS260" s="3">
        <v>282</v>
      </c>
      <c r="AT260" s="3" t="str">
        <f>IFERROR(MID(VLOOKUP($B260,Seqs!$A:$B,2,0),AU260,1),"")</f>
        <v>L</v>
      </c>
      <c r="AU260" s="3">
        <v>308</v>
      </c>
      <c r="AV260" s="3" t="str">
        <f>IFERROR(MID(VLOOKUP($B260,Seqs!$A:$B,2,0),AW260,1),"")</f>
        <v>N</v>
      </c>
      <c r="AW260" s="3">
        <v>309</v>
      </c>
      <c r="AX260" s="3" t="str">
        <f>IFERROR(MID(VLOOKUP($B260,Seqs!$A:$B,2,0),AY260,1),"")</f>
        <v>F</v>
      </c>
      <c r="AY260" s="3">
        <v>320</v>
      </c>
      <c r="AZ260" s="77" t="str">
        <f>VLOOKUP(B260,Classification!A:D,2,0)</f>
        <v>A</v>
      </c>
      <c r="BA260" s="94" t="str">
        <f>VLOOKUP(B260,Classification!A:D,4,0)</f>
        <v>Tachykinin</v>
      </c>
      <c r="BB260" s="27" t="b">
        <f t="shared" ref="BB260" si="2265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2266">_xlfn.AGGREGATE(9,6,CH260:CS260)-_xlfn.AGGREGATE(9,6,BV260:CG260)+12</f>
        <v>252</v>
      </c>
      <c r="BD260" s="5" t="s">
        <v>23</v>
      </c>
      <c r="BE260" s="3" t="s">
        <v>1368</v>
      </c>
      <c r="BF260" s="118">
        <v>2.4</v>
      </c>
      <c r="BG260" s="49" t="s">
        <v>1</v>
      </c>
      <c r="BH260" s="49" t="s">
        <v>1</v>
      </c>
      <c r="BI260" s="1"/>
      <c r="BJ260" s="70" t="s">
        <v>1281</v>
      </c>
      <c r="BK260" s="57" t="s">
        <v>1281</v>
      </c>
      <c r="BL260" s="57" t="s">
        <v>1281</v>
      </c>
      <c r="BM260" s="57" t="s">
        <v>1281</v>
      </c>
      <c r="BN260" s="57" t="s">
        <v>1281</v>
      </c>
      <c r="BO260" s="57" t="s">
        <v>1281</v>
      </c>
      <c r="BP260" s="57" t="s">
        <v>1281</v>
      </c>
      <c r="BQ260" s="57" t="s">
        <v>1281</v>
      </c>
      <c r="BR260" s="57" t="s">
        <v>1281</v>
      </c>
      <c r="BS260" s="57" t="s">
        <v>1281</v>
      </c>
      <c r="BT260" s="57" t="s">
        <v>1281</v>
      </c>
      <c r="BU260" s="57" t="s">
        <v>1281</v>
      </c>
      <c r="BV260" s="70">
        <f t="shared" ref="BV260" si="2267">E260</f>
        <v>28</v>
      </c>
      <c r="BW260" s="71">
        <f t="shared" ref="BW260" si="2268">I260</f>
        <v>61</v>
      </c>
      <c r="BX260" s="72">
        <f t="shared" ref="BX260" si="2269">M260</f>
        <v>65</v>
      </c>
      <c r="BY260" s="71">
        <f t="shared" ref="BY260" si="2270">Q260</f>
        <v>97</v>
      </c>
      <c r="BZ260" s="72">
        <f t="shared" ref="BZ260" si="2271">U260</f>
        <v>101</v>
      </c>
      <c r="CA260" s="71" t="str">
        <f t="shared" ref="CA260" si="2272">Y260</f>
        <v>-</v>
      </c>
      <c r="CB260" s="72">
        <f t="shared" ref="CB260" si="2273">AC260</f>
        <v>143</v>
      </c>
      <c r="CC260" s="71">
        <f t="shared" ref="CC260" si="2274">AG260</f>
        <v>180</v>
      </c>
      <c r="CD260" s="72">
        <f t="shared" ref="CD260" si="2275">AK260</f>
        <v>190</v>
      </c>
      <c r="CE260" s="71">
        <f t="shared" ref="CE260" si="2276">AO260</f>
        <v>238</v>
      </c>
      <c r="CF260" s="72">
        <f t="shared" ref="CF260" si="2277">AS260</f>
        <v>282</v>
      </c>
      <c r="CG260" s="71">
        <f t="shared" ref="CG260" si="2278">AW260</f>
        <v>309</v>
      </c>
      <c r="CH260" s="70">
        <f t="shared" ref="CH260" si="2279">G260</f>
        <v>60</v>
      </c>
      <c r="CI260" s="71">
        <f t="shared" ref="CI260" si="2280">K260</f>
        <v>64</v>
      </c>
      <c r="CJ260" s="72">
        <f t="shared" ref="CJ260" si="2281">O260</f>
        <v>95</v>
      </c>
      <c r="CK260" s="72">
        <f t="shared" ref="CK260" si="2282">S260</f>
        <v>100</v>
      </c>
      <c r="CL260" s="72">
        <f t="shared" ref="CL260" si="2283">W260</f>
        <v>136</v>
      </c>
      <c r="CM260" s="72" t="str">
        <f t="shared" ref="CM260" si="2284">AA260</f>
        <v>-</v>
      </c>
      <c r="CN260" s="72">
        <f t="shared" ref="CN260" si="2285">AE260</f>
        <v>169</v>
      </c>
      <c r="CO260" s="72">
        <f t="shared" ref="CO260" si="2286">AI260</f>
        <v>182</v>
      </c>
      <c r="CP260" s="72">
        <f t="shared" ref="CP260" si="2287">AM260</f>
        <v>226</v>
      </c>
      <c r="CQ260" s="72">
        <f t="shared" ref="CQ260" si="2288">AQ260</f>
        <v>274</v>
      </c>
      <c r="CR260" s="72">
        <f t="shared" ref="CR260" si="2289">AU260</f>
        <v>308</v>
      </c>
      <c r="CS260" s="72">
        <f t="shared" ref="CS260" si="2290">AY260</f>
        <v>320</v>
      </c>
      <c r="CT260" s="23">
        <f t="shared" ref="CT260" si="2291">M260-K260</f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ref="A261" si="2292">CONCATENATE(B261,"_",C261)</f>
        <v>nk1r_human_6HLP</v>
      </c>
      <c r="B261" s="3" t="s">
        <v>313</v>
      </c>
      <c r="C261" s="133" t="s">
        <v>1539</v>
      </c>
      <c r="D261" s="3" t="str">
        <f>IFERROR(MID(VLOOKUP($B261,Seqs!$A:$B,2,0),E261,1),"")</f>
        <v>P</v>
      </c>
      <c r="E261" s="3">
        <v>28</v>
      </c>
      <c r="F261" s="3" t="str">
        <f>IFERROR(MID(VLOOKUP($B261,Seqs!$A:$B,2,0),G261,1),"")</f>
        <v>H</v>
      </c>
      <c r="G261" s="3">
        <v>60</v>
      </c>
      <c r="H261" s="3" t="str">
        <f>IFERROR(MID(VLOOKUP($B261,Seqs!$A:$B,2,0),I261,1),"")</f>
        <v>K</v>
      </c>
      <c r="I261" s="23">
        <v>61</v>
      </c>
      <c r="J261" s="3" t="str">
        <f>IFERROR(MID(VLOOKUP($B261,Seqs!$A:$B,2,0),K261,1),"")</f>
        <v>R</v>
      </c>
      <c r="K261" s="23">
        <v>64</v>
      </c>
      <c r="L261" s="3" t="str">
        <f>IFERROR(MID(VLOOKUP($B261,Seqs!$A:$B,2,0),M261,1),"")</f>
        <v>T</v>
      </c>
      <c r="M261" s="3">
        <v>65</v>
      </c>
      <c r="N261" s="3" t="str">
        <f>IFERROR(MID(VLOOKUP($B261,Seqs!$A:$B,2,0),O261,1),"")</f>
        <v>H</v>
      </c>
      <c r="O261" s="3">
        <v>95</v>
      </c>
      <c r="P261" s="3" t="str">
        <f>IFERROR(MID(VLOOKUP($B261,Seqs!$A:$B,2,0),Q261,1),"")</f>
        <v>E</v>
      </c>
      <c r="Q261" s="3">
        <v>97</v>
      </c>
      <c r="R261" s="3" t="str">
        <f>IFERROR(MID(VLOOKUP($B261,Seqs!$A:$B,2,0),S261,1),"")</f>
        <v>Y</v>
      </c>
      <c r="S261" s="3">
        <v>100</v>
      </c>
      <c r="T261" s="3" t="str">
        <f>IFERROR(MID(VLOOKUP($B261,Seqs!$A:$B,2,0),U261,1),"")</f>
        <v>G</v>
      </c>
      <c r="U261" s="3">
        <v>101</v>
      </c>
      <c r="V261" s="3" t="str">
        <f>IFERROR(MID(VLOOKUP($B261,Seqs!$A:$B,2,0),W261,1),"")</f>
        <v>H</v>
      </c>
      <c r="W261" s="3">
        <v>136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S</v>
      </c>
      <c r="AC261" s="3">
        <v>143</v>
      </c>
      <c r="AD261" s="3" t="str">
        <f>IFERROR(MID(VLOOKUP($B261,Seqs!$A:$B,2,0),AE261,1),"")</f>
        <v>S</v>
      </c>
      <c r="AE261" s="3">
        <v>169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I</v>
      </c>
      <c r="AI261" s="3">
        <v>182</v>
      </c>
      <c r="AJ261" s="3" t="str">
        <f>IFERROR(MID(VLOOKUP($B261,Seqs!$A:$B,2,0),AK261,1),"")</f>
        <v>K</v>
      </c>
      <c r="AK261" s="3">
        <v>190</v>
      </c>
      <c r="AL261" s="3" t="str">
        <f>IFERROR(MID(VLOOKUP($B261,Seqs!$A:$B,2,0),AM261,1),"")</f>
        <v>S</v>
      </c>
      <c r="AM261" s="3">
        <v>226</v>
      </c>
      <c r="AN261" s="3" t="str">
        <f>IFERROR(MID(VLOOKUP($B261,Seqs!$A:$B,2,0),AO261,1),"")</f>
        <v>E</v>
      </c>
      <c r="AO261" s="3">
        <v>238</v>
      </c>
      <c r="AP261" s="3" t="str">
        <f>IFERROR(MID(VLOOKUP($B261,Seqs!$A:$B,2,0),AQ261,1),"")</f>
        <v>N</v>
      </c>
      <c r="AQ261" s="3">
        <v>274</v>
      </c>
      <c r="AR261" s="3" t="str">
        <f>IFERROR(MID(VLOOKUP($B261,Seqs!$A:$B,2,0),AS261,1),"")</f>
        <v>F</v>
      </c>
      <c r="AS261" s="3">
        <v>282</v>
      </c>
      <c r="AT261" s="3" t="str">
        <f>IFERROR(MID(VLOOKUP($B261,Seqs!$A:$B,2,0),AU261,1),"")</f>
        <v>L</v>
      </c>
      <c r="AU261" s="3">
        <v>308</v>
      </c>
      <c r="AV261" s="3" t="str">
        <f>IFERROR(MID(VLOOKUP($B261,Seqs!$A:$B,2,0),AW261,1),"")</f>
        <v>N</v>
      </c>
      <c r="AW261" s="3">
        <v>309</v>
      </c>
      <c r="AX261" s="3" t="str">
        <f>IFERROR(MID(VLOOKUP($B261,Seqs!$A:$B,2,0),AY261,1),"")</f>
        <v>F</v>
      </c>
      <c r="AY261" s="3">
        <v>320</v>
      </c>
      <c r="AZ261" s="77" t="str">
        <f>VLOOKUP(B261,Classification!A:D,2,0)</f>
        <v>A</v>
      </c>
      <c r="BA261" s="94" t="str">
        <f>VLOOKUP(B261,Classification!A:D,4,0)</f>
        <v>Tachykinin</v>
      </c>
      <c r="BB261" s="27" t="b">
        <f t="shared" ref="BB261" si="2293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2294">_xlfn.AGGREGATE(9,6,CH261:CS261)-_xlfn.AGGREGATE(9,6,BV261:CG261)+12</f>
        <v>252</v>
      </c>
      <c r="BD261" s="5" t="s">
        <v>1370</v>
      </c>
      <c r="BE261" s="3" t="s">
        <v>1368</v>
      </c>
      <c r="BF261" s="118">
        <v>2.2000000000000002</v>
      </c>
      <c r="BG261" s="49" t="s">
        <v>1</v>
      </c>
      <c r="BH261" s="49" t="s">
        <v>1</v>
      </c>
      <c r="BI261" s="1"/>
      <c r="BJ261" s="70" t="s">
        <v>1281</v>
      </c>
      <c r="BK261" s="57" t="s">
        <v>1281</v>
      </c>
      <c r="BL261" s="57" t="s">
        <v>1281</v>
      </c>
      <c r="BM261" s="57" t="s">
        <v>1281</v>
      </c>
      <c r="BN261" s="57" t="s">
        <v>1281</v>
      </c>
      <c r="BO261" s="57" t="s">
        <v>1281</v>
      </c>
      <c r="BP261" s="57" t="s">
        <v>1281</v>
      </c>
      <c r="BQ261" s="57" t="s">
        <v>1281</v>
      </c>
      <c r="BR261" s="57" t="s">
        <v>1281</v>
      </c>
      <c r="BS261" s="57" t="s">
        <v>1281</v>
      </c>
      <c r="BT261" s="57" t="s">
        <v>1281</v>
      </c>
      <c r="BU261" s="57" t="s">
        <v>1281</v>
      </c>
      <c r="BV261" s="70">
        <f t="shared" ref="BV261" si="2295">E261</f>
        <v>28</v>
      </c>
      <c r="BW261" s="71">
        <f t="shared" ref="BW261" si="2296">I261</f>
        <v>61</v>
      </c>
      <c r="BX261" s="72">
        <f t="shared" ref="BX261" si="2297">M261</f>
        <v>65</v>
      </c>
      <c r="BY261" s="71">
        <f t="shared" ref="BY261" si="2298">Q261</f>
        <v>97</v>
      </c>
      <c r="BZ261" s="72">
        <f t="shared" ref="BZ261" si="2299">U261</f>
        <v>101</v>
      </c>
      <c r="CA261" s="71" t="str">
        <f t="shared" ref="CA261" si="2300">Y261</f>
        <v>-</v>
      </c>
      <c r="CB261" s="72">
        <f t="shared" ref="CB261" si="2301">AC261</f>
        <v>143</v>
      </c>
      <c r="CC261" s="71">
        <f t="shared" ref="CC261" si="2302">AG261</f>
        <v>180</v>
      </c>
      <c r="CD261" s="72">
        <f t="shared" ref="CD261" si="2303">AK261</f>
        <v>190</v>
      </c>
      <c r="CE261" s="71">
        <f t="shared" ref="CE261" si="2304">AO261</f>
        <v>238</v>
      </c>
      <c r="CF261" s="72">
        <f t="shared" ref="CF261" si="2305">AS261</f>
        <v>282</v>
      </c>
      <c r="CG261" s="71">
        <f t="shared" ref="CG261" si="2306">AW261</f>
        <v>309</v>
      </c>
      <c r="CH261" s="70">
        <f t="shared" ref="CH261" si="2307">G261</f>
        <v>60</v>
      </c>
      <c r="CI261" s="71">
        <f t="shared" ref="CI261" si="2308">K261</f>
        <v>64</v>
      </c>
      <c r="CJ261" s="72">
        <f t="shared" ref="CJ261" si="2309">O261</f>
        <v>95</v>
      </c>
      <c r="CK261" s="72">
        <f t="shared" ref="CK261" si="2310">S261</f>
        <v>100</v>
      </c>
      <c r="CL261" s="72">
        <f t="shared" ref="CL261" si="2311">W261</f>
        <v>136</v>
      </c>
      <c r="CM261" s="72" t="str">
        <f t="shared" ref="CM261" si="2312">AA261</f>
        <v>-</v>
      </c>
      <c r="CN261" s="72">
        <f t="shared" ref="CN261" si="2313">AE261</f>
        <v>169</v>
      </c>
      <c r="CO261" s="72">
        <f t="shared" ref="CO261" si="2314">AI261</f>
        <v>182</v>
      </c>
      <c r="CP261" s="72">
        <f t="shared" ref="CP261" si="2315">AM261</f>
        <v>226</v>
      </c>
      <c r="CQ261" s="72">
        <f t="shared" ref="CQ261" si="2316">AQ261</f>
        <v>274</v>
      </c>
      <c r="CR261" s="72">
        <f t="shared" ref="CR261" si="2317">AU261</f>
        <v>308</v>
      </c>
      <c r="CS261" s="72">
        <f t="shared" ref="CS261" si="2318">AY261</f>
        <v>320</v>
      </c>
      <c r="CT261" s="23">
        <f t="shared" ref="CT261" si="2319">M261-K261</f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" si="2320">CONCATENATE(B262,"_",C262)</f>
        <v>nk1r_human_6J20</v>
      </c>
      <c r="B262" s="3" t="s">
        <v>313</v>
      </c>
      <c r="C262" s="133" t="s">
        <v>1556</v>
      </c>
      <c r="D262" s="3" t="str">
        <f>IFERROR(MID(VLOOKUP($B262,Seqs!$A:$B,2,0),E262,1),"")</f>
        <v>P</v>
      </c>
      <c r="E262" s="3">
        <v>28</v>
      </c>
      <c r="F262" s="3" t="str">
        <f>IFERROR(MID(VLOOKUP($B262,Seqs!$A:$B,2,0),G262,1),"")</f>
        <v>A</v>
      </c>
      <c r="G262" s="3">
        <v>59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V</v>
      </c>
      <c r="M262" s="3">
        <v>66</v>
      </c>
      <c r="N262" s="3" t="str">
        <f>IFERROR(MID(VLOOKUP($B262,Seqs!$A:$B,2,0),O262,1),"")</f>
        <v>N</v>
      </c>
      <c r="O262" s="3">
        <v>96</v>
      </c>
      <c r="P262" s="3" t="str">
        <f>IFERROR(MID(VLOOKUP($B262,Seqs!$A:$B,2,0),Q262,1),"")</f>
        <v>E</v>
      </c>
      <c r="Q262" s="3">
        <v>97</v>
      </c>
      <c r="R262" s="3" t="str">
        <f>IFERROR(MID(VLOOKUP($B262,Seqs!$A:$B,2,0),S262,1),"")</f>
        <v>Y</v>
      </c>
      <c r="S262" s="3">
        <v>100</v>
      </c>
      <c r="T262" s="3" t="str">
        <f>IFERROR(MID(VLOOKUP($B262,Seqs!$A:$B,2,0),U262,1),"")</f>
        <v>G</v>
      </c>
      <c r="U262" s="3">
        <v>101</v>
      </c>
      <c r="V262" s="3" t="str">
        <f>IFERROR(MID(VLOOKUP($B262,Seqs!$A:$B,2,0),W262,1),"")</f>
        <v>H</v>
      </c>
      <c r="W262" s="3">
        <v>136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S</v>
      </c>
      <c r="AC262" s="3">
        <v>143</v>
      </c>
      <c r="AD262" s="3" t="str">
        <f>IFERROR(MID(VLOOKUP($B262,Seqs!$A:$B,2,0),AE262,1),"")</f>
        <v>S</v>
      </c>
      <c r="AE262" s="3">
        <v>169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I</v>
      </c>
      <c r="AI262" s="3">
        <v>182</v>
      </c>
      <c r="AJ262" s="3" t="str">
        <f>IFERROR(MID(VLOOKUP($B262,Seqs!$A:$B,2,0),AK262,1),"")</f>
        <v>K</v>
      </c>
      <c r="AK262" s="3">
        <v>190</v>
      </c>
      <c r="AL262" s="3" t="str">
        <f>IFERROR(MID(VLOOKUP($B262,Seqs!$A:$B,2,0),AM262,1),"")</f>
        <v>A</v>
      </c>
      <c r="AM262" s="3">
        <v>225</v>
      </c>
      <c r="AN262" s="3" t="str">
        <f>IFERROR(MID(VLOOKUP($B262,Seqs!$A:$B,2,0),AO262,1),"")</f>
        <v>S</v>
      </c>
      <c r="AO262" s="3">
        <v>241</v>
      </c>
      <c r="AP262" s="3" t="str">
        <f>IFERROR(MID(VLOOKUP($B262,Seqs!$A:$B,2,0),AQ262,1),"")</f>
        <v>N</v>
      </c>
      <c r="AQ262" s="3">
        <v>274</v>
      </c>
      <c r="AR262" s="3" t="str">
        <f>IFERROR(MID(VLOOKUP($B262,Seqs!$A:$B,2,0),AS262,1),"")</f>
        <v>I</v>
      </c>
      <c r="AS262" s="3">
        <v>283</v>
      </c>
      <c r="AT262" s="3" t="str">
        <f>IFERROR(MID(VLOOKUP($B262,Seqs!$A:$B,2,0),AU262,1),"")</f>
        <v>L</v>
      </c>
      <c r="AU262" s="3">
        <v>308</v>
      </c>
      <c r="AV262" s="3" t="str">
        <f>IFERROR(MID(VLOOKUP($B262,Seqs!$A:$B,2,0),AW262,1),"")</f>
        <v>N</v>
      </c>
      <c r="AW262" s="3">
        <v>309</v>
      </c>
      <c r="AX262" s="3" t="str">
        <f>IFERROR(MID(VLOOKUP($B262,Seqs!$A:$B,2,0),AY262,1),"")</f>
        <v>A</v>
      </c>
      <c r="AY262" s="3">
        <v>319</v>
      </c>
      <c r="AZ262" s="77" t="str">
        <f>VLOOKUP(B262,Classification!A:D,2,0)</f>
        <v>A</v>
      </c>
      <c r="BA262" s="94" t="str">
        <f>VLOOKUP(B262,Classification!A:D,4,0)</f>
        <v>Tachykinin</v>
      </c>
      <c r="BB262" s="27" t="b">
        <f t="shared" ref="BB262" si="2321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2322">_xlfn.AGGREGATE(9,6,CH262:CS262)-_xlfn.AGGREGATE(9,6,BV262:CG262)+12</f>
        <v>242</v>
      </c>
      <c r="BD262" s="5" t="s">
        <v>23</v>
      </c>
      <c r="BE262" s="3" t="s">
        <v>1368</v>
      </c>
      <c r="BF262" s="118">
        <v>2.7</v>
      </c>
      <c r="BG262" s="49" t="s">
        <v>1</v>
      </c>
      <c r="BH262" s="49" t="s">
        <v>1</v>
      </c>
      <c r="BI262" s="1"/>
      <c r="BJ262" s="70" t="s">
        <v>1281</v>
      </c>
      <c r="BK262" s="57" t="s">
        <v>1281</v>
      </c>
      <c r="BL262" s="57" t="s">
        <v>1281</v>
      </c>
      <c r="BM262" s="57" t="s">
        <v>1281</v>
      </c>
      <c r="BN262" s="57" t="s">
        <v>1281</v>
      </c>
      <c r="BO262" s="57" t="s">
        <v>1281</v>
      </c>
      <c r="BP262" s="57" t="s">
        <v>1281</v>
      </c>
      <c r="BQ262" s="57" t="s">
        <v>1281</v>
      </c>
      <c r="BR262" s="57" t="s">
        <v>1281</v>
      </c>
      <c r="BS262" s="57" t="s">
        <v>1281</v>
      </c>
      <c r="BT262" s="57" t="s">
        <v>1281</v>
      </c>
      <c r="BU262" s="57" t="s">
        <v>1281</v>
      </c>
      <c r="BV262" s="70">
        <f t="shared" ref="BV262" si="2323">E262</f>
        <v>28</v>
      </c>
      <c r="BW262" s="71" t="str">
        <f t="shared" ref="BW262" si="2324">I262</f>
        <v>-</v>
      </c>
      <c r="BX262" s="72">
        <f t="shared" ref="BX262" si="2325">M262</f>
        <v>66</v>
      </c>
      <c r="BY262" s="71">
        <f t="shared" ref="BY262" si="2326">Q262</f>
        <v>97</v>
      </c>
      <c r="BZ262" s="72">
        <f t="shared" ref="BZ262" si="2327">U262</f>
        <v>101</v>
      </c>
      <c r="CA262" s="71" t="str">
        <f t="shared" ref="CA262" si="2328">Y262</f>
        <v>-</v>
      </c>
      <c r="CB262" s="72">
        <f t="shared" ref="CB262" si="2329">AC262</f>
        <v>143</v>
      </c>
      <c r="CC262" s="71">
        <f t="shared" ref="CC262" si="2330">AG262</f>
        <v>180</v>
      </c>
      <c r="CD262" s="72">
        <f t="shared" ref="CD262" si="2331">AK262</f>
        <v>190</v>
      </c>
      <c r="CE262" s="71">
        <f t="shared" ref="CE262" si="2332">AO262</f>
        <v>241</v>
      </c>
      <c r="CF262" s="72">
        <f t="shared" ref="CF262" si="2333">AS262</f>
        <v>283</v>
      </c>
      <c r="CG262" s="71">
        <f t="shared" ref="CG262" si="2334">AW262</f>
        <v>309</v>
      </c>
      <c r="CH262" s="70">
        <f t="shared" ref="CH262" si="2335">G262</f>
        <v>59</v>
      </c>
      <c r="CI262" s="71" t="str">
        <f t="shared" ref="CI262" si="2336">K262</f>
        <v>-</v>
      </c>
      <c r="CJ262" s="72">
        <f t="shared" ref="CJ262" si="2337">O262</f>
        <v>96</v>
      </c>
      <c r="CK262" s="72">
        <f t="shared" ref="CK262" si="2338">S262</f>
        <v>100</v>
      </c>
      <c r="CL262" s="72">
        <f t="shared" ref="CL262" si="2339">W262</f>
        <v>136</v>
      </c>
      <c r="CM262" s="72" t="str">
        <f t="shared" ref="CM262" si="2340">AA262</f>
        <v>-</v>
      </c>
      <c r="CN262" s="72">
        <f t="shared" ref="CN262" si="2341">AE262</f>
        <v>169</v>
      </c>
      <c r="CO262" s="72">
        <f t="shared" ref="CO262" si="2342">AI262</f>
        <v>182</v>
      </c>
      <c r="CP262" s="72">
        <f t="shared" ref="CP262" si="2343">AM262</f>
        <v>225</v>
      </c>
      <c r="CQ262" s="72">
        <f t="shared" ref="CQ262" si="2344">AQ262</f>
        <v>274</v>
      </c>
      <c r="CR262" s="72">
        <f t="shared" ref="CR262" si="2345">AU262</f>
        <v>308</v>
      </c>
      <c r="CS262" s="72">
        <f t="shared" ref="CS262" si="2346">AY262</f>
        <v>319</v>
      </c>
      <c r="CT262" s="23" t="e">
        <f t="shared" ref="CT262" si="2347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" si="2348">CONCATENATE(B263,"_",C263)</f>
        <v>nk1r_human_6J21</v>
      </c>
      <c r="B263" s="3" t="s">
        <v>313</v>
      </c>
      <c r="C263" s="133" t="s">
        <v>1557</v>
      </c>
      <c r="D263" s="3" t="str">
        <f>IFERROR(MID(VLOOKUP($B263,Seqs!$A:$B,2,0),E263,1),"")</f>
        <v>P</v>
      </c>
      <c r="E263" s="3">
        <v>28</v>
      </c>
      <c r="F263" s="3" t="str">
        <f>IFERROR(MID(VLOOKUP($B263,Seqs!$A:$B,2,0),G263,1),"")</f>
        <v>A</v>
      </c>
      <c r="G263" s="3">
        <v>59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65</v>
      </c>
      <c r="N263" s="3" t="str">
        <f>IFERROR(MID(VLOOKUP($B263,Seqs!$A:$B,2,0),O263,1),"")</f>
        <v>N</v>
      </c>
      <c r="O263" s="3">
        <v>96</v>
      </c>
      <c r="P263" s="3" t="str">
        <f>IFERROR(MID(VLOOKUP($B263,Seqs!$A:$B,2,0),Q263,1),"")</f>
        <v>E</v>
      </c>
      <c r="Q263" s="3">
        <v>97</v>
      </c>
      <c r="R263" s="3" t="str">
        <f>IFERROR(MID(VLOOKUP($B263,Seqs!$A:$B,2,0),S263,1),"")</f>
        <v>Y</v>
      </c>
      <c r="S263" s="3">
        <v>100</v>
      </c>
      <c r="T263" s="3" t="str">
        <f>IFERROR(MID(VLOOKUP($B263,Seqs!$A:$B,2,0),U263,1),"")</f>
        <v>G</v>
      </c>
      <c r="U263" s="3">
        <v>101</v>
      </c>
      <c r="V263" s="3" t="str">
        <f>IFERROR(MID(VLOOKUP($B263,Seqs!$A:$B,2,0),W263,1),"")</f>
        <v>H</v>
      </c>
      <c r="W263" s="3">
        <v>136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143</v>
      </c>
      <c r="AD263" s="3" t="str">
        <f>IFERROR(MID(VLOOKUP($B263,Seqs!$A:$B,2,0),AE263,1),"")</f>
        <v>S</v>
      </c>
      <c r="AE263" s="3">
        <v>169</v>
      </c>
      <c r="AF263" s="3" t="str">
        <f>IFERROR(MID(VLOOKUP($B263,Seqs!$A:$B,2,0),AG263,1),"")</f>
        <v>C</v>
      </c>
      <c r="AG263" s="3">
        <v>180</v>
      </c>
      <c r="AH263" s="3" t="str">
        <f>IFERROR(MID(VLOOKUP($B263,Seqs!$A:$B,2,0),AI263,1),"")</f>
        <v>I</v>
      </c>
      <c r="AI263" s="3">
        <v>182</v>
      </c>
      <c r="AJ263" s="3" t="str">
        <f>IFERROR(MID(VLOOKUP($B263,Seqs!$A:$B,2,0),AK263,1),"")</f>
        <v>I</v>
      </c>
      <c r="AK263" s="3">
        <v>191</v>
      </c>
      <c r="AL263" s="3" t="str">
        <f>IFERROR(MID(VLOOKUP($B263,Seqs!$A:$B,2,0),AM263,1),"")</f>
        <v>A</v>
      </c>
      <c r="AM263" s="3">
        <v>225</v>
      </c>
      <c r="AN263" s="3" t="str">
        <f>IFERROR(MID(VLOOKUP($B263,Seqs!$A:$B,2,0),AO263,1),"")</f>
        <v>A</v>
      </c>
      <c r="AO263" s="3">
        <v>242</v>
      </c>
      <c r="AP263" s="3" t="str">
        <f>IFERROR(MID(VLOOKUP($B263,Seqs!$A:$B,2,0),AQ263,1),"")</f>
        <v>N</v>
      </c>
      <c r="AQ263" s="3">
        <v>274</v>
      </c>
      <c r="AR263" s="3" t="str">
        <f>IFERROR(MID(VLOOKUP($B263,Seqs!$A:$B,2,0),AS263,1),"")</f>
        <v>F</v>
      </c>
      <c r="AS263" s="3">
        <v>282</v>
      </c>
      <c r="AT263" s="3" t="str">
        <f>IFERROR(MID(VLOOKUP($B263,Seqs!$A:$B,2,0),AU263,1),"")</f>
        <v>L</v>
      </c>
      <c r="AU263" s="3">
        <v>308</v>
      </c>
      <c r="AV263" s="3" t="str">
        <f>IFERROR(MID(VLOOKUP($B263,Seqs!$A:$B,2,0),AW263,1),"")</f>
        <v>N</v>
      </c>
      <c r="AW263" s="3">
        <v>309</v>
      </c>
      <c r="AX263" s="3" t="str">
        <f>IFERROR(MID(VLOOKUP($B263,Seqs!$A:$B,2,0),AY263,1),"")</f>
        <v>A</v>
      </c>
      <c r="AY263" s="3">
        <v>319</v>
      </c>
      <c r="AZ263" s="77" t="str">
        <f>VLOOKUP(B263,Classification!A:D,2,0)</f>
        <v>A</v>
      </c>
      <c r="BA263" s="94" t="str">
        <f>VLOOKUP(B263,Classification!A:D,4,0)</f>
        <v>Tachykinin</v>
      </c>
      <c r="BB263" s="27" t="b">
        <f t="shared" ref="BB263" si="2349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2350">_xlfn.AGGREGATE(9,6,CH263:CS263)-_xlfn.AGGREGATE(9,6,BV263:CG263)+12</f>
        <v>242</v>
      </c>
      <c r="BD263" s="5" t="s">
        <v>23</v>
      </c>
      <c r="BE263" s="3" t="s">
        <v>1368</v>
      </c>
      <c r="BF263" s="118">
        <v>3.2</v>
      </c>
      <c r="BG263" s="49" t="s">
        <v>1</v>
      </c>
      <c r="BH263" s="49" t="s">
        <v>1</v>
      </c>
      <c r="BI263" s="1"/>
      <c r="BJ263" s="70" t="s">
        <v>1281</v>
      </c>
      <c r="BK263" s="57" t="s">
        <v>1281</v>
      </c>
      <c r="BL263" s="57" t="s">
        <v>1281</v>
      </c>
      <c r="BM263" s="57" t="s">
        <v>1281</v>
      </c>
      <c r="BN263" s="57" t="s">
        <v>1281</v>
      </c>
      <c r="BO263" s="57" t="s">
        <v>1281</v>
      </c>
      <c r="BP263" s="57" t="s">
        <v>1281</v>
      </c>
      <c r="BQ263" s="57" t="s">
        <v>1281</v>
      </c>
      <c r="BR263" s="57" t="s">
        <v>1281</v>
      </c>
      <c r="BS263" s="57" t="s">
        <v>1281</v>
      </c>
      <c r="BT263" s="57" t="s">
        <v>1281</v>
      </c>
      <c r="BU263" s="57" t="s">
        <v>1281</v>
      </c>
      <c r="BV263" s="70">
        <f t="shared" ref="BV263" si="2351">E263</f>
        <v>28</v>
      </c>
      <c r="BW263" s="71" t="str">
        <f t="shared" ref="BW263" si="2352">I263</f>
        <v>-</v>
      </c>
      <c r="BX263" s="72">
        <f t="shared" ref="BX263" si="2353">M263</f>
        <v>65</v>
      </c>
      <c r="BY263" s="71">
        <f t="shared" ref="BY263" si="2354">Q263</f>
        <v>97</v>
      </c>
      <c r="BZ263" s="72">
        <f t="shared" ref="BZ263" si="2355">U263</f>
        <v>101</v>
      </c>
      <c r="CA263" s="71" t="str">
        <f t="shared" ref="CA263" si="2356">Y263</f>
        <v>-</v>
      </c>
      <c r="CB263" s="72">
        <f t="shared" ref="CB263" si="2357">AC263</f>
        <v>143</v>
      </c>
      <c r="CC263" s="71">
        <f t="shared" ref="CC263" si="2358">AG263</f>
        <v>180</v>
      </c>
      <c r="CD263" s="72">
        <f t="shared" ref="CD263" si="2359">AK263</f>
        <v>191</v>
      </c>
      <c r="CE263" s="71">
        <f t="shared" ref="CE263" si="2360">AO263</f>
        <v>242</v>
      </c>
      <c r="CF263" s="72">
        <f t="shared" ref="CF263" si="2361">AS263</f>
        <v>282</v>
      </c>
      <c r="CG263" s="71">
        <f t="shared" ref="CG263" si="2362">AW263</f>
        <v>309</v>
      </c>
      <c r="CH263" s="70">
        <f t="shared" ref="CH263" si="2363">G263</f>
        <v>59</v>
      </c>
      <c r="CI263" s="71" t="str">
        <f t="shared" ref="CI263" si="2364">K263</f>
        <v>-</v>
      </c>
      <c r="CJ263" s="72">
        <f t="shared" ref="CJ263" si="2365">O263</f>
        <v>96</v>
      </c>
      <c r="CK263" s="72">
        <f t="shared" ref="CK263" si="2366">S263</f>
        <v>100</v>
      </c>
      <c r="CL263" s="72">
        <f t="shared" ref="CL263" si="2367">W263</f>
        <v>136</v>
      </c>
      <c r="CM263" s="72" t="str">
        <f t="shared" ref="CM263" si="2368">AA263</f>
        <v>-</v>
      </c>
      <c r="CN263" s="72">
        <f t="shared" ref="CN263" si="2369">AE263</f>
        <v>169</v>
      </c>
      <c r="CO263" s="72">
        <f t="shared" ref="CO263" si="2370">AI263</f>
        <v>182</v>
      </c>
      <c r="CP263" s="72">
        <f t="shared" ref="CP263" si="2371">AM263</f>
        <v>225</v>
      </c>
      <c r="CQ263" s="72">
        <f t="shared" ref="CQ263" si="2372">AQ263</f>
        <v>274</v>
      </c>
      <c r="CR263" s="72">
        <f t="shared" ref="CR263" si="2373">AU263</f>
        <v>308</v>
      </c>
      <c r="CS263" s="72">
        <f t="shared" ref="CS263" si="2374">AY263</f>
        <v>319</v>
      </c>
      <c r="CT263" s="23" t="e">
        <f t="shared" ref="CT263" si="2375"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>CONCATENATE(B264,"_",C264)</f>
        <v>npy1r_human__wt</v>
      </c>
      <c r="B264" s="3" t="s">
        <v>324</v>
      </c>
      <c r="C264" s="3" t="s">
        <v>100</v>
      </c>
      <c r="D264" s="3" t="str">
        <f>IFERROR(MID(VLOOKUP($B264,Seqs!$A:$B,2,0),E264,1),"")</f>
        <v>P</v>
      </c>
      <c r="E264" s="3">
        <v>36</v>
      </c>
      <c r="F264" s="3" t="str">
        <f>IFERROR(MID(VLOOKUP($B264,Seqs!$A:$B,2,0),G264,1),"")</f>
        <v>Q</v>
      </c>
      <c r="G264" s="3">
        <v>68</v>
      </c>
      <c r="H264" s="3" t="str">
        <f>IFERROR(MID(VLOOKUP($B264,Seqs!$A:$B,2,0),I264,1),"")</f>
        <v>K</v>
      </c>
      <c r="I264" s="23">
        <v>69</v>
      </c>
      <c r="J264" s="3" t="str">
        <f>IFERROR(MID(VLOOKUP($B264,Seqs!$A:$B,2,0),K264,1),"")</f>
        <v>R</v>
      </c>
      <c r="K264" s="23">
        <v>72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D</v>
      </c>
      <c r="O264" s="3">
        <v>104</v>
      </c>
      <c r="P264" s="3" t="str">
        <f>IFERROR(MID(VLOOKUP($B264,Seqs!$A:$B,2,0),Q264,1),"")</f>
        <v>H</v>
      </c>
      <c r="Q264" s="3">
        <v>105</v>
      </c>
      <c r="R264" s="3" t="str">
        <f>IFERROR(MID(VLOOKUP($B264,Seqs!$A:$B,2,0),S264,1),"")</f>
        <v>F</v>
      </c>
      <c r="S264" s="3">
        <v>108</v>
      </c>
      <c r="T264" s="3" t="str">
        <f>IFERROR(MID(VLOOKUP($B264,Seqs!$A:$B,2,0),U264,1),"")</f>
        <v>G</v>
      </c>
      <c r="U264" s="3">
        <v>109</v>
      </c>
      <c r="V264" s="3" t="str">
        <f>IFERROR(MID(VLOOKUP($B264,Seqs!$A:$B,2,0),W264,1),"")</f>
        <v>N</v>
      </c>
      <c r="W264" s="3">
        <v>144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3">
        <v>151</v>
      </c>
      <c r="AD264" s="3" t="str">
        <f>IFERROR(MID(VLOOKUP($B264,Seqs!$A:$B,2,0),AE264,1),"")</f>
        <v>Q</v>
      </c>
      <c r="AE264" s="3">
        <v>177</v>
      </c>
      <c r="AF264" s="3" t="str">
        <f>IFERROR(MID(VLOOKUP($B264,Seqs!$A:$B,2,0),AG264,1),"")</f>
        <v>C</v>
      </c>
      <c r="AG264" s="3">
        <v>198</v>
      </c>
      <c r="AH264" s="3" t="str">
        <f>IFERROR(MID(VLOOKUP($B264,Seqs!$A:$B,2,0),AI264,1),"")</f>
        <v>D</v>
      </c>
      <c r="AI264" s="3">
        <v>200</v>
      </c>
      <c r="AJ264" s="3" t="str">
        <f>IFERROR(MID(VLOOKUP($B264,Seqs!$A:$B,2,0),AK264,1),"")</f>
        <v>S</v>
      </c>
      <c r="AK264" s="3">
        <v>204</v>
      </c>
      <c r="AL264" s="3" t="str">
        <f>IFERROR(MID(VLOOKUP($B264,Seqs!$A:$B,2,0),AM264,1),"")</f>
        <v>M</v>
      </c>
      <c r="AM264" s="3">
        <v>245</v>
      </c>
      <c r="AN264" s="3" t="str">
        <f>IFERROR(MID(VLOOKUP($B264,Seqs!$A:$B,2,0),AO264,1),"")</f>
        <v>D</v>
      </c>
      <c r="AO264" s="3">
        <v>250</v>
      </c>
      <c r="AP264" s="3" t="str">
        <f>IFERROR(MID(VLOOKUP($B264,Seqs!$A:$B,2,0),AQ264,1),"")</f>
        <v>N</v>
      </c>
      <c r="AQ264" s="3">
        <v>289</v>
      </c>
      <c r="AR264" s="3" t="str">
        <f>IFERROR(MID(VLOOKUP($B264,Seqs!$A:$B,2,0),AS264,1),"")</f>
        <v>T</v>
      </c>
      <c r="AS264" s="3">
        <v>295</v>
      </c>
      <c r="AT264" s="3" t="str">
        <f>IFERROR(MID(VLOOKUP($B264,Seqs!$A:$B,2,0),AU264,1),"")</f>
        <v>L</v>
      </c>
      <c r="AU264" s="3">
        <v>323</v>
      </c>
      <c r="AV264" s="3" t="str">
        <f>IFERROR(MID(VLOOKUP($B264,Seqs!$A:$B,2,0),AW264,1),"")</f>
        <v>N</v>
      </c>
      <c r="AW264" s="3">
        <v>324</v>
      </c>
      <c r="AX264" s="3" t="str">
        <f>IFERROR(MID(VLOOKUP($B264,Seqs!$A:$B,2,0),AY264,1),"")</f>
        <v>F</v>
      </c>
      <c r="AY264" s="3">
        <v>335</v>
      </c>
      <c r="AZ264" s="77" t="str">
        <f>VLOOKUP(B264,Classification!A:D,2,0)</f>
        <v>A</v>
      </c>
      <c r="BA264" s="94" t="str">
        <f>VLOOKUP(B264,Classification!A:D,4,0)</f>
        <v>NeuropeptideY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263</v>
      </c>
      <c r="BD264" s="5" t="s">
        <v>23</v>
      </c>
      <c r="BE264" s="3" t="s">
        <v>1368</v>
      </c>
      <c r="BF264" s="118" t="s">
        <v>23</v>
      </c>
      <c r="BG264" s="49" t="s">
        <v>1371</v>
      </c>
      <c r="BH264" s="49" t="s">
        <v>1371</v>
      </c>
      <c r="BI264" s="1"/>
      <c r="BJ264" s="70" t="s">
        <v>1281</v>
      </c>
      <c r="BK264" s="57" t="s">
        <v>1281</v>
      </c>
      <c r="BL264" s="57" t="s">
        <v>1281</v>
      </c>
      <c r="BM264" s="57" t="s">
        <v>1281</v>
      </c>
      <c r="BN264" s="57" t="s">
        <v>1281</v>
      </c>
      <c r="BO264" s="57" t="s">
        <v>1281</v>
      </c>
      <c r="BP264" s="57" t="s">
        <v>1281</v>
      </c>
      <c r="BQ264" s="57" t="s">
        <v>1281</v>
      </c>
      <c r="BR264" s="57" t="s">
        <v>1281</v>
      </c>
      <c r="BS264" s="57" t="s">
        <v>1281</v>
      </c>
      <c r="BT264" s="57" t="s">
        <v>1281</v>
      </c>
      <c r="BU264" s="57" t="s">
        <v>1281</v>
      </c>
      <c r="BV264" s="70">
        <f>E264</f>
        <v>36</v>
      </c>
      <c r="BW264" s="71">
        <f>I264</f>
        <v>69</v>
      </c>
      <c r="BX264" s="72">
        <f>M264</f>
        <v>73</v>
      </c>
      <c r="BY264" s="71">
        <f>Q264</f>
        <v>105</v>
      </c>
      <c r="BZ264" s="72">
        <f>U264</f>
        <v>109</v>
      </c>
      <c r="CA264" s="71" t="str">
        <f>Y264</f>
        <v>-</v>
      </c>
      <c r="CB264" s="72">
        <f>AC264</f>
        <v>151</v>
      </c>
      <c r="CC264" s="71">
        <f>AG264</f>
        <v>198</v>
      </c>
      <c r="CD264" s="72">
        <f>AK264</f>
        <v>204</v>
      </c>
      <c r="CE264" s="71">
        <f>AO264</f>
        <v>250</v>
      </c>
      <c r="CF264" s="72">
        <f>AS264</f>
        <v>295</v>
      </c>
      <c r="CG264" s="71">
        <f>AW264</f>
        <v>324</v>
      </c>
      <c r="CH264" s="70">
        <f>G264</f>
        <v>68</v>
      </c>
      <c r="CI264" s="71">
        <f>K264</f>
        <v>72</v>
      </c>
      <c r="CJ264" s="72">
        <f>O264</f>
        <v>104</v>
      </c>
      <c r="CK264" s="72">
        <f>S264</f>
        <v>108</v>
      </c>
      <c r="CL264" s="72">
        <f>W264</f>
        <v>144</v>
      </c>
      <c r="CM264" s="72" t="str">
        <f>AA264</f>
        <v>-</v>
      </c>
      <c r="CN264" s="72">
        <f>AE264</f>
        <v>177</v>
      </c>
      <c r="CO264" s="72">
        <f>AI264</f>
        <v>200</v>
      </c>
      <c r="CP264" s="72">
        <f>AM264</f>
        <v>245</v>
      </c>
      <c r="CQ264" s="72">
        <f>AQ264</f>
        <v>289</v>
      </c>
      <c r="CR264" s="72">
        <f>AU264</f>
        <v>323</v>
      </c>
      <c r="CS264" s="72">
        <f>AY264</f>
        <v>335</v>
      </c>
      <c r="CT264" s="23">
        <f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>CONCATENATE(B265,"_",C265)</f>
        <v>npy1r_human_5ZBH</v>
      </c>
      <c r="B265" s="3" t="s">
        <v>324</v>
      </c>
      <c r="C265" s="3" t="s">
        <v>1484</v>
      </c>
      <c r="D265" s="3" t="str">
        <f>IFERROR(MID(VLOOKUP($B265,Seqs!$A:$B,2,0),E265,1),"")</f>
        <v>P</v>
      </c>
      <c r="E265" s="3">
        <v>36</v>
      </c>
      <c r="F265" s="3" t="str">
        <f>IFERROR(MID(VLOOKUP($B265,Seqs!$A:$B,2,0),G265,1),"")</f>
        <v>Q</v>
      </c>
      <c r="G265" s="3">
        <v>68</v>
      </c>
      <c r="H265" s="3" t="str">
        <f>IFERROR(MID(VLOOKUP($B265,Seqs!$A:$B,2,0),I265,1),"")</f>
        <v>K</v>
      </c>
      <c r="I265" s="23">
        <v>69</v>
      </c>
      <c r="J265" s="3" t="str">
        <f>IFERROR(MID(VLOOKUP($B265,Seqs!$A:$B,2,0),K265,1),"")</f>
        <v>R</v>
      </c>
      <c r="K265" s="23">
        <v>72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M</v>
      </c>
      <c r="O265" s="3">
        <v>103</v>
      </c>
      <c r="P265" s="3" t="str">
        <f>IFERROR(MID(VLOOKUP($B265,Seqs!$A:$B,2,0),Q265,1),"")</f>
        <v>H</v>
      </c>
      <c r="Q265" s="3">
        <v>105</v>
      </c>
      <c r="R265" s="3" t="str">
        <f>IFERROR(MID(VLOOKUP($B265,Seqs!$A:$B,2,0),S265,1),"")</f>
        <v>F</v>
      </c>
      <c r="S265" s="3">
        <v>108</v>
      </c>
      <c r="T265" s="3" t="str">
        <f>IFERROR(MID(VLOOKUP($B265,Seqs!$A:$B,2,0),U265,1),"")</f>
        <v>G</v>
      </c>
      <c r="U265" s="3">
        <v>109</v>
      </c>
      <c r="V265" s="3" t="str">
        <f>IFERROR(MID(VLOOKUP($B265,Seqs!$A:$B,2,0),W265,1),"")</f>
        <v>N</v>
      </c>
      <c r="W265" s="3">
        <v>144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151</v>
      </c>
      <c r="AD265" s="3" t="str">
        <f>IFERROR(MID(VLOOKUP($B265,Seqs!$A:$B,2,0),AE265,1),"")</f>
        <v>Y</v>
      </c>
      <c r="AE265" s="3">
        <v>176</v>
      </c>
      <c r="AF265" s="3" t="str">
        <f>IFERROR(MID(VLOOKUP($B265,Seqs!$A:$B,2,0),AG265,1),"")</f>
        <v>C</v>
      </c>
      <c r="AG265" s="3">
        <v>198</v>
      </c>
      <c r="AH265" s="3" t="str">
        <f>IFERROR(MID(VLOOKUP($B265,Seqs!$A:$B,2,0),AI265,1),"")</f>
        <v>D</v>
      </c>
      <c r="AI265" s="3">
        <v>200</v>
      </c>
      <c r="AJ265" s="3" t="str">
        <f>IFERROR(MID(VLOOKUP($B265,Seqs!$A:$B,2,0),AK265,1),"")</f>
        <v>S</v>
      </c>
      <c r="AK265" s="3">
        <v>204</v>
      </c>
      <c r="AL265" s="3" t="str">
        <f>IFERROR(MID(VLOOKUP($B265,Seqs!$A:$B,2,0),AM265,1),"")</f>
        <v>R</v>
      </c>
      <c r="AM265" s="3">
        <v>241</v>
      </c>
      <c r="AN265" s="3" t="str">
        <f>IFERROR(MID(VLOOKUP($B265,Seqs!$A:$B,2,0),AO265,1),"")</f>
        <v>Y</v>
      </c>
      <c r="AO265" s="3">
        <v>253</v>
      </c>
      <c r="AP265" s="3" t="str">
        <f>IFERROR(MID(VLOOKUP($B265,Seqs!$A:$B,2,0),AQ265,1),"")</f>
        <v>N</v>
      </c>
      <c r="AQ265" s="3">
        <v>289</v>
      </c>
      <c r="AR265" s="3" t="str">
        <f>IFERROR(MID(VLOOKUP($B265,Seqs!$A:$B,2,0),AS265,1),"")</f>
        <v>T</v>
      </c>
      <c r="AS265" s="3">
        <v>295</v>
      </c>
      <c r="AT265" s="3" t="str">
        <f>IFERROR(MID(VLOOKUP($B265,Seqs!$A:$B,2,0),AU265,1),"")</f>
        <v>L</v>
      </c>
      <c r="AU265" s="3">
        <v>323</v>
      </c>
      <c r="AV265" s="3" t="str">
        <f>IFERROR(MID(VLOOKUP($B265,Seqs!$A:$B,2,0),AW265,1),"")</f>
        <v>N</v>
      </c>
      <c r="AW265" s="3">
        <v>324</v>
      </c>
      <c r="AX265" s="3" t="str">
        <f>IFERROR(MID(VLOOKUP($B265,Seqs!$A:$B,2,0),AY265,1),"")</f>
        <v>F</v>
      </c>
      <c r="AY265" s="3">
        <v>335</v>
      </c>
      <c r="AZ265" s="77" t="str">
        <f>VLOOKUP(B265,Classification!A:D,2,0)</f>
        <v>A</v>
      </c>
      <c r="BA265" s="94" t="str">
        <f>VLOOKUP(B265,Classification!A:D,4,0)</f>
        <v>NeuropeptideY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254</v>
      </c>
      <c r="BD265" s="5" t="s">
        <v>1370</v>
      </c>
      <c r="BE265" s="3" t="s">
        <v>1368</v>
      </c>
      <c r="BF265" s="118">
        <v>3</v>
      </c>
      <c r="BG265" s="49" t="s">
        <v>1</v>
      </c>
      <c r="BH265" s="49" t="s">
        <v>1</v>
      </c>
      <c r="BI265" s="1"/>
      <c r="BJ265" s="70" t="s">
        <v>1281</v>
      </c>
      <c r="BK265" s="57" t="s">
        <v>1281</v>
      </c>
      <c r="BL265" s="57" t="s">
        <v>1281</v>
      </c>
      <c r="BM265" s="57" t="s">
        <v>1281</v>
      </c>
      <c r="BN265" s="57" t="s">
        <v>1281</v>
      </c>
      <c r="BO265" s="57" t="s">
        <v>1281</v>
      </c>
      <c r="BP265" s="57" t="s">
        <v>1281</v>
      </c>
      <c r="BQ265" s="57" t="s">
        <v>1281</v>
      </c>
      <c r="BR265" s="57" t="s">
        <v>1281</v>
      </c>
      <c r="BS265" s="57" t="s">
        <v>1281</v>
      </c>
      <c r="BT265" s="57" t="s">
        <v>1281</v>
      </c>
      <c r="BU265" s="57" t="s">
        <v>1281</v>
      </c>
      <c r="BV265" s="70">
        <f>E265</f>
        <v>36</v>
      </c>
      <c r="BW265" s="71">
        <f>I265</f>
        <v>69</v>
      </c>
      <c r="BX265" s="72">
        <f>M265</f>
        <v>73</v>
      </c>
      <c r="BY265" s="71">
        <f>Q265</f>
        <v>105</v>
      </c>
      <c r="BZ265" s="72">
        <f>U265</f>
        <v>109</v>
      </c>
      <c r="CA265" s="71" t="str">
        <f>Y265</f>
        <v>-</v>
      </c>
      <c r="CB265" s="72">
        <f>AC265</f>
        <v>151</v>
      </c>
      <c r="CC265" s="71">
        <f>AG265</f>
        <v>198</v>
      </c>
      <c r="CD265" s="72">
        <f>AK265</f>
        <v>204</v>
      </c>
      <c r="CE265" s="71">
        <f>AO265</f>
        <v>253</v>
      </c>
      <c r="CF265" s="72">
        <f>AS265</f>
        <v>295</v>
      </c>
      <c r="CG265" s="71">
        <f>AW265</f>
        <v>324</v>
      </c>
      <c r="CH265" s="70">
        <f>G265</f>
        <v>68</v>
      </c>
      <c r="CI265" s="71">
        <f>K265</f>
        <v>72</v>
      </c>
      <c r="CJ265" s="72">
        <f>O265</f>
        <v>103</v>
      </c>
      <c r="CK265" s="72">
        <f>S265</f>
        <v>108</v>
      </c>
      <c r="CL265" s="72">
        <f>W265</f>
        <v>144</v>
      </c>
      <c r="CM265" s="72" t="str">
        <f>AA265</f>
        <v>-</v>
      </c>
      <c r="CN265" s="72">
        <f>AE265</f>
        <v>176</v>
      </c>
      <c r="CO265" s="72">
        <f>AI265</f>
        <v>200</v>
      </c>
      <c r="CP265" s="72">
        <f>AM265</f>
        <v>241</v>
      </c>
      <c r="CQ265" s="72">
        <f>AQ265</f>
        <v>289</v>
      </c>
      <c r="CR265" s="72">
        <f>AU265</f>
        <v>323</v>
      </c>
      <c r="CS265" s="72">
        <f>AY265</f>
        <v>335</v>
      </c>
      <c r="CT265" s="23">
        <f>M265-K265</f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>CONCATENATE(B266,"_",C266)</f>
        <v>npy1r_human_5ZBQ</v>
      </c>
      <c r="B266" s="3" t="s">
        <v>324</v>
      </c>
      <c r="C266" s="3" t="s">
        <v>1483</v>
      </c>
      <c r="D266" s="3" t="str">
        <f>IFERROR(MID(VLOOKUP($B266,Seqs!$A:$B,2,0),E266,1),"")</f>
        <v>P</v>
      </c>
      <c r="E266" s="3">
        <v>36</v>
      </c>
      <c r="F266" s="3" t="str">
        <f>IFERROR(MID(VLOOKUP($B266,Seqs!$A:$B,2,0),G266,1),"")</f>
        <v>Q</v>
      </c>
      <c r="G266" s="3">
        <v>68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V</v>
      </c>
      <c r="M266" s="3">
        <v>74</v>
      </c>
      <c r="N266" s="3" t="str">
        <f>IFERROR(MID(VLOOKUP($B266,Seqs!$A:$B,2,0),O266,1),"")</f>
        <v>D</v>
      </c>
      <c r="O266" s="3">
        <v>104</v>
      </c>
      <c r="P266" s="3" t="str">
        <f>IFERROR(MID(VLOOKUP($B266,Seqs!$A:$B,2,0),Q266,1),"")</f>
        <v>W</v>
      </c>
      <c r="Q266" s="3">
        <v>106</v>
      </c>
      <c r="R266" s="3" t="str">
        <f>IFERROR(MID(VLOOKUP($B266,Seqs!$A:$B,2,0),S266,1),"")</f>
        <v>F</v>
      </c>
      <c r="S266" s="3">
        <v>108</v>
      </c>
      <c r="T266" s="3" t="str">
        <f>IFERROR(MID(VLOOKUP($B266,Seqs!$A:$B,2,0),U266,1),"")</f>
        <v>G</v>
      </c>
      <c r="U266" s="3">
        <v>109</v>
      </c>
      <c r="V266" s="3" t="str">
        <f>IFERROR(MID(VLOOKUP($B266,Seqs!$A:$B,2,0),W266,1),"")</f>
        <v>I</v>
      </c>
      <c r="W266" s="3">
        <v>143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151</v>
      </c>
      <c r="AD266" s="3" t="str">
        <f>IFERROR(MID(VLOOKUP($B266,Seqs!$A:$B,2,0),AE266,1),"")</f>
        <v>Q</v>
      </c>
      <c r="AE266" s="3">
        <v>177</v>
      </c>
      <c r="AF266" s="3" t="str">
        <f>IFERROR(MID(VLOOKUP($B266,Seqs!$A:$B,2,0),AG266,1),"")</f>
        <v>C</v>
      </c>
      <c r="AG266" s="3">
        <v>198</v>
      </c>
      <c r="AH266" s="3" t="str">
        <f>IFERROR(MID(VLOOKUP($B266,Seqs!$A:$B,2,0),AI266,1),"")</f>
        <v>D</v>
      </c>
      <c r="AI266" s="3">
        <v>200</v>
      </c>
      <c r="AJ266" s="3" t="str">
        <f>IFERROR(MID(VLOOKUP($B266,Seqs!$A:$B,2,0),AK266,1),"")</f>
        <v>S</v>
      </c>
      <c r="AK266" s="3">
        <v>204</v>
      </c>
      <c r="AL266" s="3" t="str">
        <f>IFERROR(MID(VLOOKUP($B266,Seqs!$A:$B,2,0),AM266,1),"")</f>
        <v>R</v>
      </c>
      <c r="AM266" s="3">
        <v>241</v>
      </c>
      <c r="AN266" s="3" t="str">
        <f>IFERROR(MID(VLOOKUP($B266,Seqs!$A:$B,2,0),AO266,1),"")</f>
        <v>T</v>
      </c>
      <c r="AO266" s="3">
        <v>258</v>
      </c>
      <c r="AP266" s="3" t="str">
        <f>IFERROR(MID(VLOOKUP($B266,Seqs!$A:$B,2,0),AQ266,1),"")</f>
        <v>N</v>
      </c>
      <c r="AQ266" s="3">
        <v>289</v>
      </c>
      <c r="AR266" s="3" t="str">
        <f>IFERROR(MID(VLOOKUP($B266,Seqs!$A:$B,2,0),AS266,1),"")</f>
        <v>T</v>
      </c>
      <c r="AS266" s="3">
        <v>295</v>
      </c>
      <c r="AT266" s="3" t="str">
        <f>IFERROR(MID(VLOOKUP($B266,Seqs!$A:$B,2,0),AU266,1),"")</f>
        <v>L</v>
      </c>
      <c r="AU266" s="3">
        <v>323</v>
      </c>
      <c r="AV266" s="3" t="str">
        <f>IFERROR(MID(VLOOKUP($B266,Seqs!$A:$B,2,0),AW266,1),"")</f>
        <v>N</v>
      </c>
      <c r="AW266" s="3">
        <v>324</v>
      </c>
      <c r="AX266" s="3" t="str">
        <f>IFERROR(MID(VLOOKUP($B266,Seqs!$A:$B,2,0),AY266,1),"")</f>
        <v>F</v>
      </c>
      <c r="AY266" s="3">
        <v>335</v>
      </c>
      <c r="AZ266" s="77" t="str">
        <f>VLOOKUP(B266,Classification!A:D,2,0)</f>
        <v>A</v>
      </c>
      <c r="BA266" s="94" t="str">
        <f>VLOOKUP(B266,Classification!A:D,4,0)</f>
        <v>NeuropeptideY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5" t="s">
        <v>23</v>
      </c>
      <c r="BE266" s="3" t="s">
        <v>1368</v>
      </c>
      <c r="BF266" s="118">
        <v>2.7</v>
      </c>
      <c r="BG266" s="49" t="s">
        <v>1</v>
      </c>
      <c r="BH266" s="49" t="s">
        <v>1</v>
      </c>
      <c r="BI266" s="1"/>
      <c r="BJ266" s="70" t="s">
        <v>1281</v>
      </c>
      <c r="BK266" s="57" t="s">
        <v>1281</v>
      </c>
      <c r="BL266" s="57" t="s">
        <v>1281</v>
      </c>
      <c r="BM266" s="57" t="s">
        <v>1281</v>
      </c>
      <c r="BN266" s="57" t="s">
        <v>1281</v>
      </c>
      <c r="BO266" s="57" t="s">
        <v>1281</v>
      </c>
      <c r="BP266" s="57" t="s">
        <v>1281</v>
      </c>
      <c r="BQ266" s="57" t="s">
        <v>1281</v>
      </c>
      <c r="BR266" s="57" t="s">
        <v>1281</v>
      </c>
      <c r="BS266" s="57" t="s">
        <v>1281</v>
      </c>
      <c r="BT266" s="57" t="s">
        <v>1281</v>
      </c>
      <c r="BU266" s="57" t="s">
        <v>1281</v>
      </c>
      <c r="BV266" s="70">
        <f>E266</f>
        <v>36</v>
      </c>
      <c r="BW266" s="71" t="str">
        <f>I266</f>
        <v>-</v>
      </c>
      <c r="BX266" s="72">
        <f>M266</f>
        <v>74</v>
      </c>
      <c r="BY266" s="71">
        <f>Q266</f>
        <v>106</v>
      </c>
      <c r="BZ266" s="72">
        <f>U266</f>
        <v>109</v>
      </c>
      <c r="CA266" s="71" t="str">
        <f>Y266</f>
        <v>-</v>
      </c>
      <c r="CB266" s="72">
        <f>AC266</f>
        <v>151</v>
      </c>
      <c r="CC266" s="71">
        <f>AG266</f>
        <v>198</v>
      </c>
      <c r="CD266" s="72">
        <f>AK266</f>
        <v>204</v>
      </c>
      <c r="CE266" s="71">
        <f>AO266</f>
        <v>258</v>
      </c>
      <c r="CF266" s="72">
        <f>AS266</f>
        <v>295</v>
      </c>
      <c r="CG266" s="71">
        <f>AW266</f>
        <v>324</v>
      </c>
      <c r="CH266" s="70">
        <f>G266</f>
        <v>68</v>
      </c>
      <c r="CI266" s="71" t="str">
        <f>K266</f>
        <v>-</v>
      </c>
      <c r="CJ266" s="72">
        <f>O266</f>
        <v>104</v>
      </c>
      <c r="CK266" s="72">
        <f>S266</f>
        <v>108</v>
      </c>
      <c r="CL266" s="72">
        <f>W266</f>
        <v>143</v>
      </c>
      <c r="CM266" s="72" t="str">
        <f>AA266</f>
        <v>-</v>
      </c>
      <c r="CN266" s="72">
        <f>AE266</f>
        <v>177</v>
      </c>
      <c r="CO266" s="72">
        <f>AI266</f>
        <v>200</v>
      </c>
      <c r="CP266" s="72">
        <f>AM266</f>
        <v>241</v>
      </c>
      <c r="CQ266" s="72">
        <f>AQ266</f>
        <v>289</v>
      </c>
      <c r="CR266" s="72">
        <f>AU266</f>
        <v>323</v>
      </c>
      <c r="CS266" s="72">
        <f>AY266</f>
        <v>335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ref="A267" si="2376">CONCATENATE(B267,"_",C267)</f>
        <v>ntr1_human__wt</v>
      </c>
      <c r="B267" s="9" t="s">
        <v>127</v>
      </c>
      <c r="C267" s="9" t="s">
        <v>100</v>
      </c>
      <c r="D267" s="9" t="str">
        <f>IFERROR(MID(VLOOKUP($B267,Seqs!$A:$B,2,0),E267,1),"")</f>
        <v>D</v>
      </c>
      <c r="E267" s="9">
        <v>59</v>
      </c>
      <c r="F267" s="9" t="str">
        <f>IFERROR(MID(VLOOKUP($B267,Seqs!$A:$B,2,0),G267,1),"")</f>
        <v>K</v>
      </c>
      <c r="G267" s="9">
        <v>91</v>
      </c>
      <c r="H267" s="9" t="str">
        <f>IFERROR(MID(VLOOKUP($B267,Seqs!$A:$B,2,0),I267,1),"")</f>
        <v>K</v>
      </c>
      <c r="I267" s="109">
        <v>92</v>
      </c>
      <c r="J267" s="9" t="str">
        <f>IFERROR(MID(VLOOKUP($B267,Seqs!$A:$B,2,0),K267,1),"")</f>
        <v>Q</v>
      </c>
      <c r="K267" s="109">
        <v>95</v>
      </c>
      <c r="L267" s="9" t="str">
        <f>IFERROR(MID(VLOOKUP($B267,Seqs!$A:$B,2,0),M267,1),"")</f>
        <v>S</v>
      </c>
      <c r="M267" s="9">
        <v>96</v>
      </c>
      <c r="N267" s="9" t="str">
        <f>IFERROR(MID(VLOOKUP($B267,Seqs!$A:$B,2,0),O267,1),"")</f>
        <v>V</v>
      </c>
      <c r="O267" s="9">
        <v>130</v>
      </c>
      <c r="P267" s="9" t="str">
        <f>IFERROR(MID(VLOOKUP($B267,Seqs!$A:$B,2,0),Q267,1),"")</f>
        <v>P</v>
      </c>
      <c r="Q267" s="9">
        <v>133</v>
      </c>
      <c r="R267" s="9" t="str">
        <f>IFERROR(MID(VLOOKUP($B267,Seqs!$A:$B,2,0),S267,1),"")</f>
        <v>F</v>
      </c>
      <c r="S267" s="9">
        <v>136</v>
      </c>
      <c r="T267" s="9" t="str">
        <f>IFERROR(MID(VLOOKUP($B267,Seqs!$A:$B,2,0),U267,1),"")</f>
        <v>G</v>
      </c>
      <c r="U267" s="9">
        <v>137</v>
      </c>
      <c r="V267" s="9" t="str">
        <f>IFERROR(MID(VLOOKUP($B267,Seqs!$A:$B,2,0),W267,1),"")</f>
        <v>H</v>
      </c>
      <c r="W267" s="9">
        <v>172</v>
      </c>
      <c r="X267" s="9" t="str">
        <f>IFERROR(MID(VLOOKUP($B267,Seqs!$A:$B,2,0),Y267,1),"")</f>
        <v>P</v>
      </c>
      <c r="Y267" s="9">
        <v>173</v>
      </c>
      <c r="Z267" s="9" t="str">
        <f>IFERROR(MID(VLOOKUP($B267,Seqs!$A:$B,2,0),AA267,1),"")</f>
        <v>M</v>
      </c>
      <c r="AA267" s="9">
        <v>180</v>
      </c>
      <c r="AB267" s="9" t="str">
        <f>IFERROR(MID(VLOOKUP($B267,Seqs!$A:$B,2,0),AC267,1),"")</f>
        <v>S</v>
      </c>
      <c r="AC267" s="9">
        <v>181</v>
      </c>
      <c r="AD267" s="9" t="str">
        <f>IFERROR(MID(VLOOKUP($B267,Seqs!$A:$B,2,0),AE267,1),"")</f>
        <v>M</v>
      </c>
      <c r="AE267" s="9">
        <v>207</v>
      </c>
      <c r="AF267" s="9" t="str">
        <f>IFERROR(MID(VLOOKUP($B267,Seqs!$A:$B,2,0),AG267,1),"")</f>
        <v>C</v>
      </c>
      <c r="AG267" s="9">
        <v>224</v>
      </c>
      <c r="AH267" s="9" t="str">
        <f>IFERROR(MID(VLOOKUP($B267,Seqs!$A:$B,2,0),AI267,1),"")</f>
        <v>P</v>
      </c>
      <c r="AI267" s="9">
        <v>226</v>
      </c>
      <c r="AJ267" s="9" t="str">
        <f>IFERROR(MID(VLOOKUP($B267,Seqs!$A:$B,2,0),AK267,1),"")</f>
        <v>H</v>
      </c>
      <c r="AK267" s="9">
        <v>229</v>
      </c>
      <c r="AL267" s="9" t="str">
        <f>IFERROR(MID(VLOOKUP($B267,Seqs!$A:$B,2,0),AM267,1),"")</f>
        <v>G</v>
      </c>
      <c r="AM267" s="9">
        <v>274</v>
      </c>
      <c r="AN267" s="9" t="str">
        <f>IFERROR(MID(VLOOKUP($B267,Seqs!$A:$B,2,0),AO267,1),"")</f>
        <v>P</v>
      </c>
      <c r="AO267" s="9">
        <v>292</v>
      </c>
      <c r="AP267" s="9" t="str">
        <f>IFERROR(MID(VLOOKUP($B267,Seqs!$A:$B,2,0),AQ267,1),"")</f>
        <v>I</v>
      </c>
      <c r="AQ267" s="9">
        <v>329</v>
      </c>
      <c r="AR267" s="9" t="str">
        <f>IFERROR(MID(VLOOKUP($B267,Seqs!$A:$B,2,0),AS267,1),"")</f>
        <v>T</v>
      </c>
      <c r="AS267" s="9">
        <v>335</v>
      </c>
      <c r="AT267" s="9" t="str">
        <f>IFERROR(MID(VLOOKUP($B267,Seqs!$A:$B,2,0),AU267,1),"")</f>
        <v>V</v>
      </c>
      <c r="AU267" s="9">
        <v>367</v>
      </c>
      <c r="AV267" s="9" t="str">
        <f>IFERROR(MID(VLOOKUP($B267,Seqs!$A:$B,2,0),AW267,1),"")</f>
        <v>S</v>
      </c>
      <c r="AW267" s="9">
        <v>368</v>
      </c>
      <c r="AX267" s="9" t="str">
        <f>IFERROR(MID(VLOOKUP($B267,Seqs!$A:$B,2,0),AY267,1),"")</f>
        <v>C</v>
      </c>
      <c r="AY267" s="9">
        <v>383</v>
      </c>
      <c r="AZ267" s="110" t="str">
        <f>VLOOKUP(B267,Classification!A:D,2,0)</f>
        <v>A</v>
      </c>
      <c r="BA267" s="98" t="str">
        <f>VLOOKUP(B267,Classification!A:D,4,0)</f>
        <v>Neurotensin</v>
      </c>
      <c r="BB267" s="36" t="b">
        <f t="shared" ref="BB267" si="2377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 t="s">
        <v>23</v>
      </c>
      <c r="BD267" s="129" t="s">
        <v>23</v>
      </c>
      <c r="BE267" s="9" t="s">
        <v>23</v>
      </c>
      <c r="BF267" s="119" t="s">
        <v>23</v>
      </c>
      <c r="BG267" s="51" t="s">
        <v>1366</v>
      </c>
      <c r="BH267" s="51" t="s">
        <v>1371</v>
      </c>
      <c r="BI267" s="9"/>
      <c r="BJ267" s="111" t="s">
        <v>1281</v>
      </c>
      <c r="BK267" s="112" t="s">
        <v>1281</v>
      </c>
      <c r="BL267" s="112" t="s">
        <v>1281</v>
      </c>
      <c r="BM267" s="112" t="s">
        <v>1281</v>
      </c>
      <c r="BN267" s="112" t="s">
        <v>1281</v>
      </c>
      <c r="BO267" s="112" t="s">
        <v>1281</v>
      </c>
      <c r="BP267" s="112" t="s">
        <v>1281</v>
      </c>
      <c r="BQ267" s="112" t="s">
        <v>1281</v>
      </c>
      <c r="BR267" s="112" t="s">
        <v>1281</v>
      </c>
      <c r="BS267" s="112" t="s">
        <v>1281</v>
      </c>
      <c r="BT267" s="112" t="s">
        <v>1281</v>
      </c>
      <c r="BU267" s="112" t="s">
        <v>1281</v>
      </c>
      <c r="BV267" s="111">
        <f t="shared" ref="BV267" si="2378">E267</f>
        <v>59</v>
      </c>
      <c r="BW267" s="113">
        <f t="shared" ref="BW267" si="2379">I267</f>
        <v>92</v>
      </c>
      <c r="BX267" s="114">
        <f t="shared" ref="BX267" si="2380">M267</f>
        <v>96</v>
      </c>
      <c r="BY267" s="113">
        <f t="shared" ref="BY267" si="2381">Q267</f>
        <v>133</v>
      </c>
      <c r="BZ267" s="114">
        <f t="shared" ref="BZ267" si="2382">U267</f>
        <v>137</v>
      </c>
      <c r="CA267" s="113">
        <f t="shared" ref="CA267" si="2383">Y267</f>
        <v>173</v>
      </c>
      <c r="CB267" s="114">
        <f t="shared" ref="CB267" si="2384">AC267</f>
        <v>181</v>
      </c>
      <c r="CC267" s="113">
        <f t="shared" ref="CC267" si="2385">AG267</f>
        <v>224</v>
      </c>
      <c r="CD267" s="114">
        <f t="shared" ref="CD267" si="2386">AK267</f>
        <v>229</v>
      </c>
      <c r="CE267" s="113">
        <f t="shared" ref="CE267" si="2387">AO267</f>
        <v>292</v>
      </c>
      <c r="CF267" s="114">
        <f t="shared" ref="CF267" si="2388">AS267</f>
        <v>335</v>
      </c>
      <c r="CG267" s="113">
        <f t="shared" ref="CG267" si="2389">AW267</f>
        <v>368</v>
      </c>
      <c r="CH267" s="111">
        <f t="shared" ref="CH267" si="2390">G267</f>
        <v>91</v>
      </c>
      <c r="CI267" s="113">
        <f t="shared" ref="CI267" si="2391">K267</f>
        <v>95</v>
      </c>
      <c r="CJ267" s="114">
        <f t="shared" ref="CJ267" si="2392">O267</f>
        <v>130</v>
      </c>
      <c r="CK267" s="114">
        <f t="shared" ref="CK267" si="2393">S267</f>
        <v>136</v>
      </c>
      <c r="CL267" s="114">
        <f t="shared" ref="CL267" si="2394">W267</f>
        <v>172</v>
      </c>
      <c r="CM267" s="114">
        <f t="shared" ref="CM267" si="2395">AA267</f>
        <v>180</v>
      </c>
      <c r="CN267" s="114">
        <f t="shared" ref="CN267" si="2396">AE267</f>
        <v>207</v>
      </c>
      <c r="CO267" s="114">
        <f t="shared" ref="CO267" si="2397">AI267</f>
        <v>226</v>
      </c>
      <c r="CP267" s="114">
        <f t="shared" ref="CP267" si="2398">AM267</f>
        <v>274</v>
      </c>
      <c r="CQ267" s="114">
        <f t="shared" ref="CQ267" si="2399">AQ267</f>
        <v>329</v>
      </c>
      <c r="CR267" s="114">
        <f t="shared" ref="CR267" si="2400">AU267</f>
        <v>367</v>
      </c>
      <c r="CS267" s="114">
        <f t="shared" ref="CS267" si="2401">AY267</f>
        <v>383</v>
      </c>
      <c r="CT267" s="109">
        <f t="shared" ref="CT267" si="2402">M267-K267</f>
        <v>1</v>
      </c>
    </row>
    <row r="268" spans="1:1029" s="12" customFormat="1" x14ac:dyDescent="0.2">
      <c r="A268" s="9" t="str">
        <f t="shared" ref="A268" si="2403">CONCATENATE(B268,"_",C268)</f>
        <v>ntr1_human_6OS9</v>
      </c>
      <c r="B268" s="9" t="s">
        <v>127</v>
      </c>
      <c r="C268" s="9" t="s">
        <v>1577</v>
      </c>
      <c r="D268" s="9" t="str">
        <f>IFERROR(MID(VLOOKUP($B268,Seqs!$A:$B,2,0),E268,1),"")</f>
        <v>D</v>
      </c>
      <c r="E268" s="9">
        <v>59</v>
      </c>
      <c r="F268" s="9" t="str">
        <f>IFERROR(MID(VLOOKUP($B268,Seqs!$A:$B,2,0),G268,1),"")</f>
        <v>K</v>
      </c>
      <c r="G268" s="9">
        <v>91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Q</v>
      </c>
      <c r="M268" s="9">
        <v>98</v>
      </c>
      <c r="N268" s="9" t="str">
        <f>IFERROR(MID(VLOOKUP($B268,Seqs!$A:$B,2,0),O268,1),"")</f>
        <v>V</v>
      </c>
      <c r="O268" s="9">
        <v>130</v>
      </c>
      <c r="P268" s="9" t="str">
        <f>IFERROR(MID(VLOOKUP($B268,Seqs!$A:$B,2,0),Q268,1),"")</f>
        <v>P</v>
      </c>
      <c r="Q268" s="9">
        <v>133</v>
      </c>
      <c r="R268" s="9" t="str">
        <f>IFERROR(MID(VLOOKUP($B268,Seqs!$A:$B,2,0),S268,1),"")</f>
        <v>F</v>
      </c>
      <c r="S268" s="9">
        <v>136</v>
      </c>
      <c r="T268" s="9" t="str">
        <f>IFERROR(MID(VLOOKUP($B268,Seqs!$A:$B,2,0),U268,1),"")</f>
        <v>G</v>
      </c>
      <c r="U268" s="9">
        <v>137</v>
      </c>
      <c r="V268" s="9" t="str">
        <f>IFERROR(MID(VLOOKUP($B268,Seqs!$A:$B,2,0),W268,1),"")</f>
        <v>H</v>
      </c>
      <c r="W268" s="9">
        <v>172</v>
      </c>
      <c r="X268" s="9" t="str">
        <f>IFERROR(MID(VLOOKUP($B268,Seqs!$A:$B,2,0),Y268,1),"")</f>
        <v>P</v>
      </c>
      <c r="Y268" s="9">
        <v>173</v>
      </c>
      <c r="Z268" s="9" t="str">
        <f>IFERROR(MID(VLOOKUP($B268,Seqs!$A:$B,2,0),AA268,1),"")</f>
        <v>M</v>
      </c>
      <c r="AA268" s="9">
        <v>180</v>
      </c>
      <c r="AB268" s="9" t="str">
        <f>IFERROR(MID(VLOOKUP($B268,Seqs!$A:$B,2,0),AC268,1),"")</f>
        <v>S</v>
      </c>
      <c r="AC268" s="9">
        <v>181</v>
      </c>
      <c r="AD268" s="9" t="str">
        <f>IFERROR(MID(VLOOKUP($B268,Seqs!$A:$B,2,0),AE268,1),"")</f>
        <v>L</v>
      </c>
      <c r="AE268" s="9">
        <v>204</v>
      </c>
      <c r="AF268" s="9" t="str">
        <f>IFERROR(MID(VLOOKUP($B268,Seqs!$A:$B,2,0),AG268,1),"")</f>
        <v>C</v>
      </c>
      <c r="AG268" s="9">
        <v>224</v>
      </c>
      <c r="AH268" s="9" t="str">
        <f>IFERROR(MID(VLOOKUP($B268,Seqs!$A:$B,2,0),AI268,1),"")</f>
        <v>P</v>
      </c>
      <c r="AI268" s="9">
        <v>226</v>
      </c>
      <c r="AJ268" s="9" t="str">
        <f>IFERROR(MID(VLOOKUP($B268,Seqs!$A:$B,2,0),AK268,1),"")</f>
        <v>H</v>
      </c>
      <c r="AK268" s="9">
        <v>229</v>
      </c>
      <c r="AL268" s="9" t="str">
        <f>IFERROR(MID(VLOOKUP($B268,Seqs!$A:$B,2,0),AM268,1),"")</f>
        <v>E</v>
      </c>
      <c r="AM268" s="9">
        <v>272</v>
      </c>
      <c r="AN268" s="9" t="str">
        <f>IFERROR(MID(VLOOKUP($B268,Seqs!$A:$B,2,0),AO268,1),"")</f>
        <v>V</v>
      </c>
      <c r="AO268" s="9">
        <v>295</v>
      </c>
      <c r="AP268" s="9" t="str">
        <f>IFERROR(MID(VLOOKUP($B268,Seqs!$A:$B,2,0),AQ268,1),"")</f>
        <v>I</v>
      </c>
      <c r="AQ268" s="9">
        <v>329</v>
      </c>
      <c r="AR268" s="9" t="str">
        <f>IFERROR(MID(VLOOKUP($B268,Seqs!$A:$B,2,0),AS268,1),"")</f>
        <v>T</v>
      </c>
      <c r="AS268" s="9">
        <v>335</v>
      </c>
      <c r="AT268" s="9" t="str">
        <f>IFERROR(MID(VLOOKUP($B268,Seqs!$A:$B,2,0),AU268,1),"")</f>
        <v>L</v>
      </c>
      <c r="AU268" s="9">
        <v>366</v>
      </c>
      <c r="AV268" s="9" t="str">
        <f>IFERROR(MID(VLOOKUP($B268,Seqs!$A:$B,2,0),AW268,1),"")</f>
        <v/>
      </c>
      <c r="AW268" s="9" t="s">
        <v>23</v>
      </c>
      <c r="AX268" s="9" t="str">
        <f>IFERROR(MID(VLOOKUP($B268,Seqs!$A:$B,2,0),AY268,1),"")</f>
        <v/>
      </c>
      <c r="AY268" s="9" t="s">
        <v>23</v>
      </c>
      <c r="AZ268" s="110" t="str">
        <f>VLOOKUP(B268,Classification!A:D,2,0)</f>
        <v>A</v>
      </c>
      <c r="BA268" s="98" t="str">
        <f>VLOOKUP(B268,Classification!A:D,4,0)</f>
        <v>Neurotensin</v>
      </c>
      <c r="BB268" s="36" t="b">
        <f t="shared" ref="BB268" si="2404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2405">_xlfn.AGGREGATE(9,6,CH268:CS268)-_xlfn.AGGREGATE(9,6,BV268:CG268)+12</f>
        <v>254</v>
      </c>
      <c r="BD268" s="129" t="s">
        <v>23</v>
      </c>
      <c r="BE268" s="9" t="s">
        <v>1422</v>
      </c>
      <c r="BF268" s="119">
        <v>3</v>
      </c>
      <c r="BG268" s="51" t="s">
        <v>1416</v>
      </c>
      <c r="BH268" s="51" t="s">
        <v>1416</v>
      </c>
      <c r="BI268" s="9"/>
      <c r="BJ268" s="111" t="s">
        <v>1281</v>
      </c>
      <c r="BK268" s="112" t="s">
        <v>1281</v>
      </c>
      <c r="BL268" s="112" t="s">
        <v>1281</v>
      </c>
      <c r="BM268" s="112" t="s">
        <v>1281</v>
      </c>
      <c r="BN268" s="112" t="s">
        <v>1281</v>
      </c>
      <c r="BO268" s="112" t="s">
        <v>1281</v>
      </c>
      <c r="BP268" s="112" t="s">
        <v>1281</v>
      </c>
      <c r="BQ268" s="112" t="s">
        <v>1281</v>
      </c>
      <c r="BR268" s="112" t="s">
        <v>1281</v>
      </c>
      <c r="BS268" s="112" t="s">
        <v>1281</v>
      </c>
      <c r="BT268" s="112" t="s">
        <v>1281</v>
      </c>
      <c r="BU268" s="112" t="s">
        <v>1281</v>
      </c>
      <c r="BV268" s="111">
        <f t="shared" ref="BV268" si="2406">E268</f>
        <v>59</v>
      </c>
      <c r="BW268" s="113" t="str">
        <f t="shared" ref="BW268" si="2407">I268</f>
        <v>-</v>
      </c>
      <c r="BX268" s="114">
        <f t="shared" ref="BX268" si="2408">M268</f>
        <v>98</v>
      </c>
      <c r="BY268" s="113">
        <f t="shared" ref="BY268" si="2409">Q268</f>
        <v>133</v>
      </c>
      <c r="BZ268" s="114">
        <f t="shared" ref="BZ268" si="2410">U268</f>
        <v>137</v>
      </c>
      <c r="CA268" s="113">
        <f t="shared" ref="CA268" si="2411">Y268</f>
        <v>173</v>
      </c>
      <c r="CB268" s="114">
        <f t="shared" ref="CB268" si="2412">AC268</f>
        <v>181</v>
      </c>
      <c r="CC268" s="113">
        <f t="shared" ref="CC268" si="2413">AG268</f>
        <v>224</v>
      </c>
      <c r="CD268" s="114">
        <f t="shared" ref="CD268" si="2414">AK268</f>
        <v>229</v>
      </c>
      <c r="CE268" s="113">
        <f t="shared" ref="CE268" si="2415">AO268</f>
        <v>295</v>
      </c>
      <c r="CF268" s="114">
        <f t="shared" ref="CF268" si="2416">AS268</f>
        <v>335</v>
      </c>
      <c r="CG268" s="113" t="str">
        <f t="shared" ref="CG268" si="2417">AW268</f>
        <v>-</v>
      </c>
      <c r="CH268" s="111">
        <f t="shared" ref="CH268" si="2418">G268</f>
        <v>91</v>
      </c>
      <c r="CI268" s="113" t="str">
        <f t="shared" ref="CI268" si="2419">K268</f>
        <v>-</v>
      </c>
      <c r="CJ268" s="114">
        <f t="shared" ref="CJ268" si="2420">O268</f>
        <v>130</v>
      </c>
      <c r="CK268" s="114">
        <f t="shared" ref="CK268" si="2421">S268</f>
        <v>136</v>
      </c>
      <c r="CL268" s="114">
        <f t="shared" ref="CL268" si="2422">W268</f>
        <v>172</v>
      </c>
      <c r="CM268" s="114">
        <f t="shared" ref="CM268" si="2423">AA268</f>
        <v>180</v>
      </c>
      <c r="CN268" s="114">
        <f t="shared" ref="CN268" si="2424">AE268</f>
        <v>204</v>
      </c>
      <c r="CO268" s="114">
        <f t="shared" ref="CO268" si="2425">AI268</f>
        <v>226</v>
      </c>
      <c r="CP268" s="114">
        <f t="shared" ref="CP268" si="2426">AM268</f>
        <v>272</v>
      </c>
      <c r="CQ268" s="114">
        <f t="shared" ref="CQ268" si="2427">AQ268</f>
        <v>329</v>
      </c>
      <c r="CR268" s="114">
        <f t="shared" ref="CR268" si="2428">AU268</f>
        <v>366</v>
      </c>
      <c r="CS268" s="114" t="str">
        <f t="shared" ref="CS268" si="2429">AY268</f>
        <v>-</v>
      </c>
      <c r="CT268" s="109" t="e">
        <f t="shared" ref="CT268" si="2430">M268-K268</f>
        <v>#VALUE!</v>
      </c>
    </row>
    <row r="269" spans="1:1029" s="12" customFormat="1" x14ac:dyDescent="0.2">
      <c r="A269" s="9" t="str">
        <f t="shared" ref="A269" si="2431">CONCATENATE(B269,"_",C269)</f>
        <v>ntr1_human_6OSA</v>
      </c>
      <c r="B269" s="9" t="s">
        <v>127</v>
      </c>
      <c r="C269" s="9" t="s">
        <v>1578</v>
      </c>
      <c r="D269" s="9" t="str">
        <f>IFERROR(MID(VLOOKUP($B269,Seqs!$A:$B,2,0),E269,1),"")</f>
        <v>D</v>
      </c>
      <c r="E269" s="9">
        <v>59</v>
      </c>
      <c r="F269" s="9" t="str">
        <f>IFERROR(MID(VLOOKUP($B269,Seqs!$A:$B,2,0),G269,1),"")</f>
        <v>K</v>
      </c>
      <c r="G269" s="9">
        <v>91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L</v>
      </c>
      <c r="M269" s="9">
        <v>97</v>
      </c>
      <c r="N269" s="9" t="str">
        <f>IFERROR(MID(VLOOKUP($B269,Seqs!$A:$B,2,0),O269,1),"")</f>
        <v>V</v>
      </c>
      <c r="O269" s="9">
        <v>130</v>
      </c>
      <c r="P269" s="9" t="str">
        <f>IFERROR(MID(VLOOKUP($B269,Seqs!$A:$B,2,0),Q269,1),"")</f>
        <v>P</v>
      </c>
      <c r="Q269" s="9">
        <v>133</v>
      </c>
      <c r="R269" s="9" t="str">
        <f>IFERROR(MID(VLOOKUP($B269,Seqs!$A:$B,2,0),S269,1),"")</f>
        <v>F</v>
      </c>
      <c r="S269" s="9">
        <v>136</v>
      </c>
      <c r="T269" s="9" t="str">
        <f>IFERROR(MID(VLOOKUP($B269,Seqs!$A:$B,2,0),U269,1),"")</f>
        <v>A</v>
      </c>
      <c r="U269" s="9">
        <v>139</v>
      </c>
      <c r="V269" s="9" t="str">
        <f>IFERROR(MID(VLOOKUP($B269,Seqs!$A:$B,2,0),W269,1),"")</f>
        <v>C</v>
      </c>
      <c r="W269" s="9">
        <v>171</v>
      </c>
      <c r="X269" s="9" t="str">
        <f>IFERROR(MID(VLOOKUP($B269,Seqs!$A:$B,2,0),Y269,1),"")</f>
        <v>P</v>
      </c>
      <c r="Y269" s="9">
        <v>173</v>
      </c>
      <c r="Z269" s="9" t="str">
        <f>IFERROR(MID(VLOOKUP($B269,Seqs!$A:$B,2,0),AA269,1),"")</f>
        <v>M</v>
      </c>
      <c r="AA269" s="9">
        <v>180</v>
      </c>
      <c r="AB269" s="9" t="str">
        <f>IFERROR(MID(VLOOKUP($B269,Seqs!$A:$B,2,0),AC269,1),"")</f>
        <v>S</v>
      </c>
      <c r="AC269" s="9">
        <v>181</v>
      </c>
      <c r="AD269" s="9" t="str">
        <f>IFERROR(MID(VLOOKUP($B269,Seqs!$A:$B,2,0),AE269,1),"")</f>
        <v>M</v>
      </c>
      <c r="AE269" s="9">
        <v>207</v>
      </c>
      <c r="AF269" s="9" t="str">
        <f>IFERROR(MID(VLOOKUP($B269,Seqs!$A:$B,2,0),AG269,1),"")</f>
        <v>C</v>
      </c>
      <c r="AG269" s="9">
        <v>224</v>
      </c>
      <c r="AH269" s="9" t="str">
        <f>IFERROR(MID(VLOOKUP($B269,Seqs!$A:$B,2,0),AI269,1),"")</f>
        <v>P</v>
      </c>
      <c r="AI269" s="9">
        <v>226</v>
      </c>
      <c r="AJ269" s="9" t="str">
        <f>IFERROR(MID(VLOOKUP($B269,Seqs!$A:$B,2,0),AK269,1),"")</f>
        <v>H</v>
      </c>
      <c r="AK269" s="9">
        <v>229</v>
      </c>
      <c r="AL269" s="9" t="str">
        <f>IFERROR(MID(VLOOKUP($B269,Seqs!$A:$B,2,0),AM269,1),"")</f>
        <v>Q</v>
      </c>
      <c r="AM269" s="9">
        <v>273</v>
      </c>
      <c r="AN269" s="9" t="str">
        <f>IFERROR(MID(VLOOKUP($B269,Seqs!$A:$B,2,0),AO269,1),"")</f>
        <v>G</v>
      </c>
      <c r="AO269" s="9">
        <v>280</v>
      </c>
      <c r="AP269" s="9" t="str">
        <f>IFERROR(MID(VLOOKUP($B269,Seqs!$A:$B,2,0),AQ269,1),"")</f>
        <v>Y</v>
      </c>
      <c r="AQ269" s="9">
        <v>328</v>
      </c>
      <c r="AR269" s="9" t="str">
        <f>IFERROR(MID(VLOOKUP($B269,Seqs!$A:$B,2,0),AS269,1),"")</f>
        <v>T</v>
      </c>
      <c r="AS269" s="9">
        <v>335</v>
      </c>
      <c r="AT269" s="9" t="str">
        <f>IFERROR(MID(VLOOKUP($B269,Seqs!$A:$B,2,0),AU269,1),"")</f>
        <v>V</v>
      </c>
      <c r="AU269" s="9">
        <v>367</v>
      </c>
      <c r="AV269" s="9" t="str">
        <f>IFERROR(MID(VLOOKUP($B269,Seqs!$A:$B,2,0),AW269,1),"")</f>
        <v>S</v>
      </c>
      <c r="AW269" s="9">
        <v>368</v>
      </c>
      <c r="AX269" s="9" t="str">
        <f>IFERROR(MID(VLOOKUP($B269,Seqs!$A:$B,2,0),AY269,1),"")</f>
        <v>C</v>
      </c>
      <c r="AY269" s="9">
        <v>383</v>
      </c>
      <c r="AZ269" s="110" t="str">
        <f>VLOOKUP(B269,Classification!A:D,2,0)</f>
        <v>A</v>
      </c>
      <c r="BA269" s="98" t="str">
        <f>VLOOKUP(B269,Classification!A:D,4,0)</f>
        <v>Neurotensin</v>
      </c>
      <c r="BB269" s="36" t="b">
        <f t="shared" ref="BB269" si="2432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2433">_xlfn.AGGREGATE(9,6,CH269:CS269)-_xlfn.AGGREGATE(9,6,BV269:CG269)+12</f>
        <v>286</v>
      </c>
      <c r="BD269" s="129" t="s">
        <v>1423</v>
      </c>
      <c r="BE269" s="9" t="s">
        <v>1422</v>
      </c>
      <c r="BF269" s="119">
        <v>3</v>
      </c>
      <c r="BG269" s="51" t="s">
        <v>1416</v>
      </c>
      <c r="BH269" s="51" t="s">
        <v>1416</v>
      </c>
      <c r="BI269" s="9"/>
      <c r="BJ269" s="111" t="s">
        <v>1281</v>
      </c>
      <c r="BK269" s="112" t="s">
        <v>1281</v>
      </c>
      <c r="BL269" s="112" t="s">
        <v>1281</v>
      </c>
      <c r="BM269" s="112" t="s">
        <v>1281</v>
      </c>
      <c r="BN269" s="112" t="s">
        <v>1281</v>
      </c>
      <c r="BO269" s="112" t="s">
        <v>1281</v>
      </c>
      <c r="BP269" s="112" t="s">
        <v>1281</v>
      </c>
      <c r="BQ269" s="112" t="s">
        <v>1281</v>
      </c>
      <c r="BR269" s="112" t="s">
        <v>1281</v>
      </c>
      <c r="BS269" s="112" t="s">
        <v>1281</v>
      </c>
      <c r="BT269" s="112" t="s">
        <v>1281</v>
      </c>
      <c r="BU269" s="112" t="s">
        <v>1281</v>
      </c>
      <c r="BV269" s="111">
        <f t="shared" ref="BV269" si="2434">E269</f>
        <v>59</v>
      </c>
      <c r="BW269" s="113" t="str">
        <f t="shared" ref="BW269" si="2435">I269</f>
        <v>-</v>
      </c>
      <c r="BX269" s="114">
        <f t="shared" ref="BX269" si="2436">M269</f>
        <v>97</v>
      </c>
      <c r="BY269" s="113">
        <f t="shared" ref="BY269" si="2437">Q269</f>
        <v>133</v>
      </c>
      <c r="BZ269" s="114">
        <f t="shared" ref="BZ269" si="2438">U269</f>
        <v>139</v>
      </c>
      <c r="CA269" s="113">
        <f t="shared" ref="CA269" si="2439">Y269</f>
        <v>173</v>
      </c>
      <c r="CB269" s="114">
        <f t="shared" ref="CB269" si="2440">AC269</f>
        <v>181</v>
      </c>
      <c r="CC269" s="113">
        <f t="shared" ref="CC269" si="2441">AG269</f>
        <v>224</v>
      </c>
      <c r="CD269" s="114">
        <f t="shared" ref="CD269" si="2442">AK269</f>
        <v>229</v>
      </c>
      <c r="CE269" s="113">
        <f t="shared" ref="CE269" si="2443">AO269</f>
        <v>280</v>
      </c>
      <c r="CF269" s="114">
        <f t="shared" ref="CF269" si="2444">AS269</f>
        <v>335</v>
      </c>
      <c r="CG269" s="113">
        <f t="shared" ref="CG269" si="2445">AW269</f>
        <v>368</v>
      </c>
      <c r="CH269" s="111">
        <f t="shared" ref="CH269" si="2446">G269</f>
        <v>91</v>
      </c>
      <c r="CI269" s="113" t="str">
        <f t="shared" ref="CI269" si="2447">K269</f>
        <v>-</v>
      </c>
      <c r="CJ269" s="114">
        <f t="shared" ref="CJ269" si="2448">O269</f>
        <v>130</v>
      </c>
      <c r="CK269" s="114">
        <f t="shared" ref="CK269" si="2449">S269</f>
        <v>136</v>
      </c>
      <c r="CL269" s="114">
        <f t="shared" ref="CL269" si="2450">W269</f>
        <v>171</v>
      </c>
      <c r="CM269" s="114">
        <f t="shared" ref="CM269" si="2451">AA269</f>
        <v>180</v>
      </c>
      <c r="CN269" s="114">
        <f t="shared" ref="CN269" si="2452">AE269</f>
        <v>207</v>
      </c>
      <c r="CO269" s="114">
        <f t="shared" ref="CO269" si="2453">AI269</f>
        <v>226</v>
      </c>
      <c r="CP269" s="114">
        <f t="shared" ref="CP269" si="2454">AM269</f>
        <v>273</v>
      </c>
      <c r="CQ269" s="114">
        <f t="shared" ref="CQ269" si="2455">AQ269</f>
        <v>328</v>
      </c>
      <c r="CR269" s="114">
        <f t="shared" ref="CR269" si="2456">AU269</f>
        <v>367</v>
      </c>
      <c r="CS269" s="114">
        <f t="shared" ref="CS269" si="2457">AY269</f>
        <v>383</v>
      </c>
      <c r="CT269" s="109" t="e">
        <f t="shared" ref="CT269" si="2458">M269-K269</f>
        <v>#VALUE!</v>
      </c>
    </row>
    <row r="270" spans="1:1029" s="12" customFormat="1" x14ac:dyDescent="0.2">
      <c r="A270" s="9" t="str">
        <f t="shared" ref="A270" si="2459">CONCATENATE(B270,"_",C270)</f>
        <v>ntr1_human_6PWC</v>
      </c>
      <c r="B270" s="9" t="s">
        <v>127</v>
      </c>
      <c r="C270" s="9" t="s">
        <v>1612</v>
      </c>
      <c r="D270" s="9" t="str">
        <f>IFERROR(MID(VLOOKUP($B270,Seqs!$A:$B,2,0),E270,1),"")</f>
        <v>D</v>
      </c>
      <c r="E270" s="9">
        <v>59</v>
      </c>
      <c r="F270" s="9" t="str">
        <f>IFERROR(MID(VLOOKUP($B270,Seqs!$A:$B,2,0),G270,1),"")</f>
        <v>K</v>
      </c>
      <c r="G270" s="9">
        <v>91</v>
      </c>
      <c r="H270" s="9" t="str">
        <f>IFERROR(MID(VLOOKUP($B270,Seqs!$A:$B,2,0),I270,1),"")</f>
        <v/>
      </c>
      <c r="I270" s="109" t="s">
        <v>23</v>
      </c>
      <c r="J270" s="9" t="str">
        <f>IFERROR(MID(VLOOKUP($B270,Seqs!$A:$B,2,0),K270,1),"")</f>
        <v/>
      </c>
      <c r="K270" s="109" t="s">
        <v>23</v>
      </c>
      <c r="L270" s="9" t="str">
        <f>IFERROR(MID(VLOOKUP($B270,Seqs!$A:$B,2,0),M270,1),"")</f>
        <v>Q</v>
      </c>
      <c r="M270" s="9">
        <v>98</v>
      </c>
      <c r="N270" s="9" t="str">
        <f>IFERROR(MID(VLOOKUP($B270,Seqs!$A:$B,2,0),O270,1),"")</f>
        <v>W</v>
      </c>
      <c r="O270" s="9">
        <v>129</v>
      </c>
      <c r="P270" s="9" t="str">
        <f>IFERROR(MID(VLOOKUP($B270,Seqs!$A:$B,2,0),Q270,1),"")</f>
        <v>P</v>
      </c>
      <c r="Q270" s="9">
        <v>133</v>
      </c>
      <c r="R270" s="9" t="str">
        <f>IFERROR(MID(VLOOKUP($B270,Seqs!$A:$B,2,0),S270,1),"")</f>
        <v>F</v>
      </c>
      <c r="S270" s="9">
        <v>136</v>
      </c>
      <c r="T270" s="9" t="str">
        <f>IFERROR(MID(VLOOKUP($B270,Seqs!$A:$B,2,0),U270,1),"")</f>
        <v>G</v>
      </c>
      <c r="U270" s="9">
        <v>137</v>
      </c>
      <c r="V270" s="9" t="str">
        <f>IFERROR(MID(VLOOKUP($B270,Seqs!$A:$B,2,0),W270,1),"")</f>
        <v>H</v>
      </c>
      <c r="W270" s="9">
        <v>172</v>
      </c>
      <c r="X270" s="9" t="str">
        <f>IFERROR(MID(VLOOKUP($B270,Seqs!$A:$B,2,0),Y270,1),"")</f>
        <v>P</v>
      </c>
      <c r="Y270" s="9">
        <v>173</v>
      </c>
      <c r="Z270" s="9" t="str">
        <f>IFERROR(MID(VLOOKUP($B270,Seqs!$A:$B,2,0),AA270,1),"")</f>
        <v>M</v>
      </c>
      <c r="AA270" s="9">
        <v>180</v>
      </c>
      <c r="AB270" s="9" t="str">
        <f>IFERROR(MID(VLOOKUP($B270,Seqs!$A:$B,2,0),AC270,1),"")</f>
        <v>S</v>
      </c>
      <c r="AC270" s="9">
        <v>181</v>
      </c>
      <c r="AD270" s="9" t="str">
        <f>IFERROR(MID(VLOOKUP($B270,Seqs!$A:$B,2,0),AE270,1),"")</f>
        <v>T</v>
      </c>
      <c r="AE270" s="9">
        <v>206</v>
      </c>
      <c r="AF270" s="9" t="str">
        <f>IFERROR(MID(VLOOKUP($B270,Seqs!$A:$B,2,0),AG270,1),"")</f>
        <v>C</v>
      </c>
      <c r="AG270" s="9">
        <v>224</v>
      </c>
      <c r="AH270" s="9" t="str">
        <f>IFERROR(MID(VLOOKUP($B270,Seqs!$A:$B,2,0),AI270,1),"")</f>
        <v>P</v>
      </c>
      <c r="AI270" s="9">
        <v>226</v>
      </c>
      <c r="AJ270" s="9" t="str">
        <f>IFERROR(MID(VLOOKUP($B270,Seqs!$A:$B,2,0),AK270,1),"")</f>
        <v>H</v>
      </c>
      <c r="AK270" s="9">
        <v>229</v>
      </c>
      <c r="AL270" s="9" t="str">
        <f>IFERROR(MID(VLOOKUP($B270,Seqs!$A:$B,2,0),AM270,1),"")</f>
        <v>Q</v>
      </c>
      <c r="AM270" s="9">
        <v>269</v>
      </c>
      <c r="AN270" s="9" t="str">
        <f>IFERROR(MID(VLOOKUP($B270,Seqs!$A:$B,2,0),AO270,1),"")</f>
        <v>G</v>
      </c>
      <c r="AO270" s="9">
        <v>293</v>
      </c>
      <c r="AP270" s="9" t="str">
        <f>IFERROR(MID(VLOOKUP($B270,Seqs!$A:$B,2,0),AQ270,1),"")</f>
        <v>I</v>
      </c>
      <c r="AQ270" s="9">
        <v>329</v>
      </c>
      <c r="AR270" s="9" t="str">
        <f>IFERROR(MID(VLOOKUP($B270,Seqs!$A:$B,2,0),AS270,1),"")</f>
        <v>T</v>
      </c>
      <c r="AS270" s="9">
        <v>335</v>
      </c>
      <c r="AT270" s="9" t="str">
        <f>IFERROR(MID(VLOOKUP($B270,Seqs!$A:$B,2,0),AU270,1),"")</f>
        <v>V</v>
      </c>
      <c r="AU270" s="9">
        <v>367</v>
      </c>
      <c r="AV270" s="9" t="str">
        <f>IFERROR(MID(VLOOKUP($B270,Seqs!$A:$B,2,0),AW270,1),"")</f>
        <v>S</v>
      </c>
      <c r="AW270" s="9">
        <v>368</v>
      </c>
      <c r="AX270" s="9" t="str">
        <f>IFERROR(MID(VLOOKUP($B270,Seqs!$A:$B,2,0),AY270,1),"")</f>
        <v>C</v>
      </c>
      <c r="AY270" s="9">
        <v>383</v>
      </c>
      <c r="AZ270" s="110" t="str">
        <f>VLOOKUP(B270,Classification!A:D,2,0)</f>
        <v>A</v>
      </c>
      <c r="BA270" s="98" t="str">
        <f>VLOOKUP(B270,Classification!A:D,4,0)</f>
        <v>Neurotensin</v>
      </c>
      <c r="BB270" s="36" t="b">
        <f t="shared" ref="BB270" si="2460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2461">_xlfn.AGGREGATE(9,6,CH270:CS270)-_xlfn.AGGREGATE(9,6,BV270:CG270)+12</f>
        <v>270</v>
      </c>
      <c r="BD270" s="129" t="s">
        <v>1369</v>
      </c>
      <c r="BE270" s="9" t="s">
        <v>1285</v>
      </c>
      <c r="BF270" s="119">
        <v>4.9000000000000004</v>
      </c>
      <c r="BG270" s="51" t="s">
        <v>1416</v>
      </c>
      <c r="BH270" s="51" t="s">
        <v>1416</v>
      </c>
      <c r="BI270" s="9"/>
      <c r="BJ270" s="111" t="s">
        <v>1281</v>
      </c>
      <c r="BK270" s="112" t="s">
        <v>1281</v>
      </c>
      <c r="BL270" s="112" t="s">
        <v>1281</v>
      </c>
      <c r="BM270" s="112" t="s">
        <v>1281</v>
      </c>
      <c r="BN270" s="112" t="s">
        <v>1281</v>
      </c>
      <c r="BO270" s="112" t="s">
        <v>1281</v>
      </c>
      <c r="BP270" s="112" t="s">
        <v>1281</v>
      </c>
      <c r="BQ270" s="112" t="s">
        <v>1281</v>
      </c>
      <c r="BR270" s="112" t="s">
        <v>1281</v>
      </c>
      <c r="BS270" s="112" t="s">
        <v>1281</v>
      </c>
      <c r="BT270" s="112" t="s">
        <v>1281</v>
      </c>
      <c r="BU270" s="112" t="s">
        <v>1281</v>
      </c>
      <c r="BV270" s="111">
        <f t="shared" ref="BV270" si="2462">E270</f>
        <v>59</v>
      </c>
      <c r="BW270" s="113" t="str">
        <f t="shared" ref="BW270" si="2463">I270</f>
        <v>-</v>
      </c>
      <c r="BX270" s="114">
        <f t="shared" ref="BX270" si="2464">M270</f>
        <v>98</v>
      </c>
      <c r="BY270" s="113">
        <f t="shared" ref="BY270" si="2465">Q270</f>
        <v>133</v>
      </c>
      <c r="BZ270" s="114">
        <f t="shared" ref="BZ270" si="2466">U270</f>
        <v>137</v>
      </c>
      <c r="CA270" s="113">
        <f t="shared" ref="CA270" si="2467">Y270</f>
        <v>173</v>
      </c>
      <c r="CB270" s="114">
        <f t="shared" ref="CB270" si="2468">AC270</f>
        <v>181</v>
      </c>
      <c r="CC270" s="113">
        <f t="shared" ref="CC270" si="2469">AG270</f>
        <v>224</v>
      </c>
      <c r="CD270" s="114">
        <f t="shared" ref="CD270" si="2470">AK270</f>
        <v>229</v>
      </c>
      <c r="CE270" s="113">
        <f t="shared" ref="CE270" si="2471">AO270</f>
        <v>293</v>
      </c>
      <c r="CF270" s="114">
        <f t="shared" ref="CF270" si="2472">AS270</f>
        <v>335</v>
      </c>
      <c r="CG270" s="113">
        <f t="shared" ref="CG270" si="2473">AW270</f>
        <v>368</v>
      </c>
      <c r="CH270" s="111">
        <f t="shared" ref="CH270" si="2474">G270</f>
        <v>91</v>
      </c>
      <c r="CI270" s="113" t="str">
        <f t="shared" ref="CI270" si="2475">K270</f>
        <v>-</v>
      </c>
      <c r="CJ270" s="114">
        <f t="shared" ref="CJ270" si="2476">O270</f>
        <v>129</v>
      </c>
      <c r="CK270" s="114">
        <f t="shared" ref="CK270" si="2477">S270</f>
        <v>136</v>
      </c>
      <c r="CL270" s="114">
        <f t="shared" ref="CL270" si="2478">W270</f>
        <v>172</v>
      </c>
      <c r="CM270" s="114">
        <f t="shared" ref="CM270" si="2479">AA270</f>
        <v>180</v>
      </c>
      <c r="CN270" s="114">
        <f t="shared" ref="CN270" si="2480">AE270</f>
        <v>206</v>
      </c>
      <c r="CO270" s="114">
        <f t="shared" ref="CO270" si="2481">AI270</f>
        <v>226</v>
      </c>
      <c r="CP270" s="114">
        <f t="shared" ref="CP270" si="2482">AM270</f>
        <v>269</v>
      </c>
      <c r="CQ270" s="114">
        <f t="shared" ref="CQ270" si="2483">AQ270</f>
        <v>329</v>
      </c>
      <c r="CR270" s="114">
        <f t="shared" ref="CR270" si="2484">AU270</f>
        <v>367</v>
      </c>
      <c r="CS270" s="114">
        <f t="shared" ref="CS270" si="2485">AY270</f>
        <v>383</v>
      </c>
      <c r="CT270" s="109" t="e">
        <f t="shared" ref="CT270" si="2486">M270-K270</f>
        <v>#VALUE!</v>
      </c>
    </row>
    <row r="271" spans="1:1029" s="12" customFormat="1" x14ac:dyDescent="0.2">
      <c r="A271" s="9" t="str">
        <f t="shared" ref="A271" si="2487">CONCATENATE(B271,"_",C271)</f>
        <v>ntr1_human_6UP7</v>
      </c>
      <c r="B271" s="9" t="s">
        <v>127</v>
      </c>
      <c r="C271" s="9" t="s">
        <v>1658</v>
      </c>
      <c r="D271" s="9" t="str">
        <f>IFERROR(MID(VLOOKUP($B271,Seqs!$A:$B,2,0),E271,1),"")</f>
        <v>D</v>
      </c>
      <c r="E271" s="9">
        <v>59</v>
      </c>
      <c r="F271" s="9" t="str">
        <f>IFERROR(MID(VLOOKUP($B271,Seqs!$A:$B,2,0),G271,1),"")</f>
        <v>S</v>
      </c>
      <c r="G271" s="9">
        <v>93</v>
      </c>
      <c r="H271" s="9" t="str">
        <f>IFERROR(MID(VLOOKUP($B271,Seqs!$A:$B,2,0),I271,1),"")</f>
        <v/>
      </c>
      <c r="I271" s="109" t="s">
        <v>23</v>
      </c>
      <c r="J271" s="9" t="str">
        <f>IFERROR(MID(VLOOKUP($B271,Seqs!$A:$B,2,0),K271,1),"")</f>
        <v/>
      </c>
      <c r="K271" s="109" t="s">
        <v>23</v>
      </c>
      <c r="L271" s="9" t="str">
        <f>IFERROR(MID(VLOOKUP($B271,Seqs!$A:$B,2,0),M271,1),"")</f>
        <v>V</v>
      </c>
      <c r="M271" s="9">
        <v>101</v>
      </c>
      <c r="N271" s="9" t="str">
        <f>IFERROR(MID(VLOOKUP($B271,Seqs!$A:$B,2,0),O271,1),"")</f>
        <v>V</v>
      </c>
      <c r="O271" s="9">
        <v>130</v>
      </c>
      <c r="P271" s="9" t="str">
        <f>IFERROR(MID(VLOOKUP($B271,Seqs!$A:$B,2,0),Q271,1),"")</f>
        <v>P</v>
      </c>
      <c r="Q271" s="9">
        <v>133</v>
      </c>
      <c r="R271" s="9" t="str">
        <f>IFERROR(MID(VLOOKUP($B271,Seqs!$A:$B,2,0),S271,1),"")</f>
        <v>F</v>
      </c>
      <c r="S271" s="9">
        <v>136</v>
      </c>
      <c r="T271" s="9" t="str">
        <f>IFERROR(MID(VLOOKUP($B271,Seqs!$A:$B,2,0),U271,1),"")</f>
        <v>G</v>
      </c>
      <c r="U271" s="9">
        <v>137</v>
      </c>
      <c r="V271" s="9" t="str">
        <f>IFERROR(MID(VLOOKUP($B271,Seqs!$A:$B,2,0),W271,1),"")</f>
        <v>H</v>
      </c>
      <c r="W271" s="9">
        <v>172</v>
      </c>
      <c r="X271" s="9" t="str">
        <f>IFERROR(MID(VLOOKUP($B271,Seqs!$A:$B,2,0),Y271,1),"")</f>
        <v>P</v>
      </c>
      <c r="Y271" s="9">
        <v>173</v>
      </c>
      <c r="Z271" s="9" t="str">
        <f>IFERROR(MID(VLOOKUP($B271,Seqs!$A:$B,2,0),AA271,1),"")</f>
        <v>M</v>
      </c>
      <c r="AA271" s="9">
        <v>180</v>
      </c>
      <c r="AB271" s="9" t="str">
        <f>IFERROR(MID(VLOOKUP($B271,Seqs!$A:$B,2,0),AC271,1),"")</f>
        <v>S</v>
      </c>
      <c r="AC271" s="9">
        <v>181</v>
      </c>
      <c r="AD271" s="9" t="str">
        <f>IFERROR(MID(VLOOKUP($B271,Seqs!$A:$B,2,0),AE271,1),"")</f>
        <v>M</v>
      </c>
      <c r="AE271" s="9">
        <v>207</v>
      </c>
      <c r="AF271" s="9" t="str">
        <f>IFERROR(MID(VLOOKUP($B271,Seqs!$A:$B,2,0),AG271,1),"")</f>
        <v>C</v>
      </c>
      <c r="AG271" s="9">
        <v>224</v>
      </c>
      <c r="AH271" s="9" t="str">
        <f>IFERROR(MID(VLOOKUP($B271,Seqs!$A:$B,2,0),AI271,1),"")</f>
        <v>P</v>
      </c>
      <c r="AI271" s="9">
        <v>226</v>
      </c>
      <c r="AJ271" s="9" t="str">
        <f>IFERROR(MID(VLOOKUP($B271,Seqs!$A:$B,2,0),AK271,1),"")</f>
        <v>H</v>
      </c>
      <c r="AK271" s="9">
        <v>229</v>
      </c>
      <c r="AL271" s="9" t="str">
        <f>IFERROR(MID(VLOOKUP($B271,Seqs!$A:$B,2,0),AM271,1),"")</f>
        <v>A</v>
      </c>
      <c r="AM271" s="9">
        <v>270</v>
      </c>
      <c r="AN271" s="9" t="str">
        <f>IFERROR(MID(VLOOKUP($B271,Seqs!$A:$B,2,0),AO271,1),"")</f>
        <v>G</v>
      </c>
      <c r="AO271" s="9">
        <v>293</v>
      </c>
      <c r="AP271" s="9" t="str">
        <f>IFERROR(MID(VLOOKUP($B271,Seqs!$A:$B,2,0),AQ271,1),"")</f>
        <v>Y</v>
      </c>
      <c r="AQ271" s="9">
        <v>328</v>
      </c>
      <c r="AR271" s="9" t="str">
        <f>IFERROR(MID(VLOOKUP($B271,Seqs!$A:$B,2,0),AS271,1),"")</f>
        <v>P</v>
      </c>
      <c r="AS271" s="9">
        <v>336</v>
      </c>
      <c r="AT271" s="9" t="str">
        <f>IFERROR(MID(VLOOKUP($B271,Seqs!$A:$B,2,0),AU271,1),"")</f>
        <v>N</v>
      </c>
      <c r="AU271" s="9">
        <v>365</v>
      </c>
      <c r="AV271" s="9" t="str">
        <f>IFERROR(MID(VLOOKUP($B271,Seqs!$A:$B,2,0),AW271,1),"")</f>
        <v>S</v>
      </c>
      <c r="AW271" s="9">
        <v>368</v>
      </c>
      <c r="AX271" s="9" t="str">
        <f>IFERROR(MID(VLOOKUP($B271,Seqs!$A:$B,2,0),AY271,1),"")</f>
        <v>L</v>
      </c>
      <c r="AY271" s="9">
        <v>382</v>
      </c>
      <c r="AZ271" s="110" t="str">
        <f>VLOOKUP(B271,Classification!A:D,2,0)</f>
        <v>A</v>
      </c>
      <c r="BA271" s="98" t="str">
        <f>VLOOKUP(B271,Classification!A:D,4,0)</f>
        <v>Neurotensin</v>
      </c>
      <c r="BB271" s="36" t="b">
        <f t="shared" ref="BB271" si="2488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109">
        <f t="shared" ref="BC271" si="2489">_xlfn.AGGREGATE(9,6,CH271:CS271)-_xlfn.AGGREGATE(9,6,BV271:CG271)+12</f>
        <v>267</v>
      </c>
      <c r="BD271" s="129" t="s">
        <v>23</v>
      </c>
      <c r="BE271" s="9" t="s">
        <v>1285</v>
      </c>
      <c r="BF271" s="119">
        <v>4.2</v>
      </c>
      <c r="BG271" s="51" t="s">
        <v>1416</v>
      </c>
      <c r="BH271" s="51" t="s">
        <v>1416</v>
      </c>
      <c r="BI271" s="9"/>
      <c r="BJ271" s="111" t="s">
        <v>1281</v>
      </c>
      <c r="BK271" s="112" t="s">
        <v>1281</v>
      </c>
      <c r="BL271" s="112" t="s">
        <v>1281</v>
      </c>
      <c r="BM271" s="112" t="s">
        <v>1281</v>
      </c>
      <c r="BN271" s="112" t="s">
        <v>1281</v>
      </c>
      <c r="BO271" s="112" t="s">
        <v>1281</v>
      </c>
      <c r="BP271" s="112" t="s">
        <v>1281</v>
      </c>
      <c r="BQ271" s="112" t="s">
        <v>1281</v>
      </c>
      <c r="BR271" s="112" t="s">
        <v>1281</v>
      </c>
      <c r="BS271" s="112" t="s">
        <v>1281</v>
      </c>
      <c r="BT271" s="112" t="s">
        <v>1281</v>
      </c>
      <c r="BU271" s="112" t="s">
        <v>1281</v>
      </c>
      <c r="BV271" s="111">
        <f t="shared" ref="BV271" si="2490">E271</f>
        <v>59</v>
      </c>
      <c r="BW271" s="113" t="str">
        <f t="shared" ref="BW271" si="2491">I271</f>
        <v>-</v>
      </c>
      <c r="BX271" s="114">
        <f t="shared" ref="BX271" si="2492">M271</f>
        <v>101</v>
      </c>
      <c r="BY271" s="113">
        <f t="shared" ref="BY271" si="2493">Q271</f>
        <v>133</v>
      </c>
      <c r="BZ271" s="114">
        <f t="shared" ref="BZ271" si="2494">U271</f>
        <v>137</v>
      </c>
      <c r="CA271" s="113">
        <f t="shared" ref="CA271" si="2495">Y271</f>
        <v>173</v>
      </c>
      <c r="CB271" s="114">
        <f t="shared" ref="CB271" si="2496">AC271</f>
        <v>181</v>
      </c>
      <c r="CC271" s="113">
        <f t="shared" ref="CC271" si="2497">AG271</f>
        <v>224</v>
      </c>
      <c r="CD271" s="114">
        <f t="shared" ref="CD271" si="2498">AK271</f>
        <v>229</v>
      </c>
      <c r="CE271" s="113">
        <f t="shared" ref="CE271" si="2499">AO271</f>
        <v>293</v>
      </c>
      <c r="CF271" s="114">
        <f t="shared" ref="CF271" si="2500">AS271</f>
        <v>336</v>
      </c>
      <c r="CG271" s="113">
        <f t="shared" ref="CG271" si="2501">AW271</f>
        <v>368</v>
      </c>
      <c r="CH271" s="111">
        <f t="shared" ref="CH271" si="2502">G271</f>
        <v>93</v>
      </c>
      <c r="CI271" s="113" t="str">
        <f t="shared" ref="CI271" si="2503">K271</f>
        <v>-</v>
      </c>
      <c r="CJ271" s="114">
        <f t="shared" ref="CJ271" si="2504">O271</f>
        <v>130</v>
      </c>
      <c r="CK271" s="114">
        <f t="shared" ref="CK271" si="2505">S271</f>
        <v>136</v>
      </c>
      <c r="CL271" s="114">
        <f t="shared" ref="CL271" si="2506">W271</f>
        <v>172</v>
      </c>
      <c r="CM271" s="114">
        <f t="shared" ref="CM271" si="2507">AA271</f>
        <v>180</v>
      </c>
      <c r="CN271" s="114">
        <f t="shared" ref="CN271" si="2508">AE271</f>
        <v>207</v>
      </c>
      <c r="CO271" s="114">
        <f t="shared" ref="CO271" si="2509">AI271</f>
        <v>226</v>
      </c>
      <c r="CP271" s="114">
        <f t="shared" ref="CP271" si="2510">AM271</f>
        <v>270</v>
      </c>
      <c r="CQ271" s="114">
        <f t="shared" ref="CQ271" si="2511">AQ271</f>
        <v>328</v>
      </c>
      <c r="CR271" s="114">
        <f t="shared" ref="CR271" si="2512">AU271</f>
        <v>365</v>
      </c>
      <c r="CS271" s="114">
        <f t="shared" ref="CS271" si="2513">AY271</f>
        <v>382</v>
      </c>
      <c r="CT271" s="109" t="e">
        <f t="shared" ref="CT271" si="2514">M271-K271</f>
        <v>#VALUE!</v>
      </c>
    </row>
    <row r="272" spans="1:1029" x14ac:dyDescent="0.2">
      <c r="A272" s="3" t="str">
        <f t="shared" si="1955"/>
        <v>ntr1_rat__wt</v>
      </c>
      <c r="B272" s="3" t="s">
        <v>907</v>
      </c>
      <c r="C272" s="3" t="s">
        <v>100</v>
      </c>
      <c r="D272" s="3" t="str">
        <f>IFERROR(MID(VLOOKUP($B272,Seqs!$A:$B,2,0),E272,1),"")</f>
        <v>I</v>
      </c>
      <c r="E272" s="3">
        <v>61</v>
      </c>
      <c r="F272" s="3" t="str">
        <f>IFERROR(MID(VLOOKUP($B272,Seqs!$A:$B,2,0),G272,1),"")</f>
        <v>K</v>
      </c>
      <c r="G272" s="3">
        <v>92</v>
      </c>
      <c r="H272" s="3" t="str">
        <f>IFERROR(MID(VLOOKUP($B272,Seqs!$A:$B,2,0),I272,1),"")</f>
        <v>K</v>
      </c>
      <c r="I272" s="23">
        <v>93</v>
      </c>
      <c r="J272" s="3" t="str">
        <f>IFERROR(MID(VLOOKUP($B272,Seqs!$A:$B,2,0),K272,1),"")</f>
        <v>Q</v>
      </c>
      <c r="K272" s="23">
        <v>96</v>
      </c>
      <c r="L272" s="3" t="str">
        <f>IFERROR(MID(VLOOKUP($B272,Seqs!$A:$B,2,0),M272,1),"")</f>
        <v>S</v>
      </c>
      <c r="M272" s="3">
        <v>97</v>
      </c>
      <c r="N272" s="3" t="str">
        <f>IFERROR(MID(VLOOKUP($B272,Seqs!$A:$B,2,0),O272,1),"")</f>
        <v>V</v>
      </c>
      <c r="O272" s="3">
        <v>131</v>
      </c>
      <c r="P272" s="3" t="str">
        <f>IFERROR(MID(VLOOKUP($B272,Seqs!$A:$B,2,0),Q272,1),"")</f>
        <v>P</v>
      </c>
      <c r="Q272" s="3">
        <v>134</v>
      </c>
      <c r="R272" s="3" t="str">
        <f>IFERROR(MID(VLOOKUP($B272,Seqs!$A:$B,2,0),S272,1),"")</f>
        <v>F</v>
      </c>
      <c r="S272" s="3">
        <v>137</v>
      </c>
      <c r="T272" s="3" t="str">
        <f>IFERROR(MID(VLOOKUP($B272,Seqs!$A:$B,2,0),U272,1),"")</f>
        <v>G</v>
      </c>
      <c r="U272" s="3">
        <v>138</v>
      </c>
      <c r="V272" s="3" t="str">
        <f>IFERROR(MID(VLOOKUP($B272,Seqs!$A:$B,2,0),W272,1),"")</f>
        <v>H</v>
      </c>
      <c r="W272" s="3">
        <v>173</v>
      </c>
      <c r="X272" s="3" t="str">
        <f>IFERROR(MID(VLOOKUP($B272,Seqs!$A:$B,2,0),Y272,1),"")</f>
        <v>P</v>
      </c>
      <c r="Y272" s="3">
        <v>174</v>
      </c>
      <c r="Z272" s="3" t="str">
        <f>IFERROR(MID(VLOOKUP($B272,Seqs!$A:$B,2,0),AA272,1),"")</f>
        <v>M</v>
      </c>
      <c r="AA272" s="3">
        <v>181</v>
      </c>
      <c r="AB272" s="3" t="str">
        <f>IFERROR(MID(VLOOKUP($B272,Seqs!$A:$B,2,0),AC272,1),"")</f>
        <v>S</v>
      </c>
      <c r="AC272" s="9">
        <v>182</v>
      </c>
      <c r="AD272" s="3" t="str">
        <f>IFERROR(MID(VLOOKUP($B272,Seqs!$A:$B,2,0),AE272,1),"")</f>
        <v>M</v>
      </c>
      <c r="AE272" s="3">
        <v>208</v>
      </c>
      <c r="AF272" s="3" t="str">
        <f>IFERROR(MID(VLOOKUP($B272,Seqs!$A:$B,2,0),AG272,1),"")</f>
        <v>C</v>
      </c>
      <c r="AG272" s="3">
        <v>225</v>
      </c>
      <c r="AH272" s="3" t="str">
        <f>IFERROR(MID(VLOOKUP($B272,Seqs!$A:$B,2,0),AI272,1),"")</f>
        <v>P</v>
      </c>
      <c r="AI272" s="3">
        <v>227</v>
      </c>
      <c r="AJ272" s="3" t="str">
        <f>IFERROR(MID(VLOOKUP($B272,Seqs!$A:$B,2,0),AK272,1),"")</f>
        <v>T</v>
      </c>
      <c r="AK272" s="3">
        <v>231</v>
      </c>
      <c r="AL272" s="3" t="str">
        <f>IFERROR(MID(VLOOKUP($B272,Seqs!$A:$B,2,0),AM272,1),"")</f>
        <v>G</v>
      </c>
      <c r="AM272" s="3">
        <v>275</v>
      </c>
      <c r="AN272" s="3" t="str">
        <f>IFERROR(MID(VLOOKUP($B272,Seqs!$A:$B,2,0),AO272,1),"")</f>
        <v>P</v>
      </c>
      <c r="AO272" s="3">
        <v>297</v>
      </c>
      <c r="AP272" s="3" t="str">
        <f>IFERROR(MID(VLOOKUP($B272,Seqs!$A:$B,2,0),AQ272,1),"")</f>
        <v>I</v>
      </c>
      <c r="AQ272" s="3">
        <v>334</v>
      </c>
      <c r="AR272" s="3" t="str">
        <f>IFERROR(MID(VLOOKUP($B272,Seqs!$A:$B,2,0),AS272,1),"")</f>
        <v>T</v>
      </c>
      <c r="AS272" s="3">
        <v>340</v>
      </c>
      <c r="AT272" s="3" t="str">
        <f>IFERROR(MID(VLOOKUP($B272,Seqs!$A:$B,2,0),AU272,1),"")</f>
        <v>V</v>
      </c>
      <c r="AU272" s="3">
        <v>372</v>
      </c>
      <c r="AV272" s="3" t="str">
        <f>IFERROR(MID(VLOOKUP($B272,Seqs!$A:$B,2,0),AW272,1),"")</f>
        <v>S</v>
      </c>
      <c r="AW272" s="3">
        <v>373</v>
      </c>
      <c r="AX272" s="3" t="str">
        <f>IFERROR(MID(VLOOKUP($B272,Seqs!$A:$B,2,0),AY272,1),"")</f>
        <v>C</v>
      </c>
      <c r="AY272" s="105">
        <v>388</v>
      </c>
      <c r="AZ272" s="77" t="str">
        <f>VLOOKUP(B272,Classification!A:D,2,0)</f>
        <v>A</v>
      </c>
      <c r="BA272" s="94" t="str">
        <f>VLOOKUP(B272,Classification!A:D,4,0)</f>
        <v>Neurotensin</v>
      </c>
      <c r="BB272" s="27" t="b">
        <f t="shared" si="1956"/>
        <v>1</v>
      </c>
      <c r="BC272" s="23">
        <f t="shared" si="1705"/>
        <v>281</v>
      </c>
      <c r="BD272" s="56" t="s">
        <v>23</v>
      </c>
      <c r="BE272" s="3" t="s">
        <v>23</v>
      </c>
      <c r="BF272" s="118" t="s">
        <v>23</v>
      </c>
      <c r="BG272" s="49" t="s">
        <v>1366</v>
      </c>
      <c r="BH272" s="49" t="s">
        <v>1371</v>
      </c>
      <c r="BI272" s="3" t="s">
        <v>1163</v>
      </c>
      <c r="BJ272" s="70" t="s">
        <v>1281</v>
      </c>
      <c r="BK272" s="57" t="s">
        <v>1281</v>
      </c>
      <c r="BL272" s="57" t="s">
        <v>1281</v>
      </c>
      <c r="BM272" s="57" t="s">
        <v>1281</v>
      </c>
      <c r="BN272" s="57" t="s">
        <v>1281</v>
      </c>
      <c r="BO272" s="57" t="s">
        <v>1281</v>
      </c>
      <c r="BP272" s="57" t="s">
        <v>1281</v>
      </c>
      <c r="BQ272" s="57" t="s">
        <v>1281</v>
      </c>
      <c r="BR272" s="57" t="s">
        <v>1281</v>
      </c>
      <c r="BS272" s="57" t="s">
        <v>1281</v>
      </c>
      <c r="BT272" s="57" t="s">
        <v>1281</v>
      </c>
      <c r="BU272" s="57" t="s">
        <v>1281</v>
      </c>
      <c r="BV272" s="70">
        <f t="shared" si="1706"/>
        <v>61</v>
      </c>
      <c r="BW272" s="71">
        <f t="shared" si="1707"/>
        <v>93</v>
      </c>
      <c r="BX272" s="72">
        <f t="shared" si="1708"/>
        <v>97</v>
      </c>
      <c r="BY272" s="71">
        <f t="shared" si="1709"/>
        <v>134</v>
      </c>
      <c r="BZ272" s="72">
        <f t="shared" si="1710"/>
        <v>138</v>
      </c>
      <c r="CA272" s="71">
        <f t="shared" si="1711"/>
        <v>174</v>
      </c>
      <c r="CB272" s="72">
        <f t="shared" si="1712"/>
        <v>182</v>
      </c>
      <c r="CC272" s="71">
        <f t="shared" si="1713"/>
        <v>225</v>
      </c>
      <c r="CD272" s="72">
        <f t="shared" si="1714"/>
        <v>231</v>
      </c>
      <c r="CE272" s="71">
        <f t="shared" si="1715"/>
        <v>297</v>
      </c>
      <c r="CF272" s="72">
        <f t="shared" si="1716"/>
        <v>340</v>
      </c>
      <c r="CG272" s="71">
        <f t="shared" si="1717"/>
        <v>373</v>
      </c>
      <c r="CH272" s="70">
        <f t="shared" si="1718"/>
        <v>92</v>
      </c>
      <c r="CI272" s="71">
        <f t="shared" si="1719"/>
        <v>96</v>
      </c>
      <c r="CJ272" s="72">
        <f t="shared" si="1720"/>
        <v>131</v>
      </c>
      <c r="CK272" s="72">
        <f t="shared" si="1721"/>
        <v>137</v>
      </c>
      <c r="CL272" s="72">
        <f t="shared" si="1722"/>
        <v>173</v>
      </c>
      <c r="CM272" s="72">
        <f t="shared" si="1723"/>
        <v>181</v>
      </c>
      <c r="CN272" s="72">
        <f t="shared" si="1724"/>
        <v>208</v>
      </c>
      <c r="CO272" s="72">
        <f t="shared" si="1725"/>
        <v>227</v>
      </c>
      <c r="CP272" s="72">
        <f t="shared" si="1726"/>
        <v>275</v>
      </c>
      <c r="CQ272" s="72">
        <f t="shared" si="1727"/>
        <v>334</v>
      </c>
      <c r="CR272" s="72">
        <f t="shared" si="1728"/>
        <v>372</v>
      </c>
      <c r="CS272" s="72">
        <f t="shared" si="1729"/>
        <v>388</v>
      </c>
      <c r="CT272" s="23">
        <f t="shared" si="1730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955"/>
        <v>ntr1_rat_4BUO</v>
      </c>
      <c r="B273" s="3" t="s">
        <v>907</v>
      </c>
      <c r="C273" s="3" t="s">
        <v>1326</v>
      </c>
      <c r="D273" s="3" t="str">
        <f>IFERROR(MID(VLOOKUP($B273,Seqs!$A:$B,2,0),E273,1),"")</f>
        <v>I</v>
      </c>
      <c r="E273" s="3">
        <v>61</v>
      </c>
      <c r="F273" s="3" t="str">
        <f>IFERROR(MID(VLOOKUP($B273,Seqs!$A:$B,2,0),G273,1),"")</f>
        <v>R</v>
      </c>
      <c r="G273" s="3">
        <v>91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S</v>
      </c>
      <c r="M273" s="3">
        <v>97</v>
      </c>
      <c r="N273" s="3" t="str">
        <f>IFERROR(MID(VLOOKUP($B273,Seqs!$A:$B,2,0),O273,1),"")</f>
        <v>V</v>
      </c>
      <c r="O273" s="3">
        <v>131</v>
      </c>
      <c r="P273" s="3" t="str">
        <f>IFERROR(MID(VLOOKUP($B273,Seqs!$A:$B,2,0),Q273,1),"")</f>
        <v>P</v>
      </c>
      <c r="Q273" s="3">
        <v>134</v>
      </c>
      <c r="R273" s="3" t="str">
        <f>IFERROR(MID(VLOOKUP($B273,Seqs!$A:$B,2,0),S273,1),"")</f>
        <v>F</v>
      </c>
      <c r="S273" s="3">
        <v>137</v>
      </c>
      <c r="T273" s="3" t="str">
        <f>IFERROR(MID(VLOOKUP($B273,Seqs!$A:$B,2,0),U273,1),"")</f>
        <v>G</v>
      </c>
      <c r="U273" s="3">
        <v>138</v>
      </c>
      <c r="V273" s="3" t="str">
        <f>IFERROR(MID(VLOOKUP($B273,Seqs!$A:$B,2,0),W273,1),"")</f>
        <v>H</v>
      </c>
      <c r="W273" s="3">
        <v>173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182</v>
      </c>
      <c r="AD273" s="3" t="str">
        <f>IFERROR(MID(VLOOKUP($B273,Seqs!$A:$B,2,0),AE273,1),"")</f>
        <v>M</v>
      </c>
      <c r="AE273" s="3">
        <v>208</v>
      </c>
      <c r="AF273" s="3" t="str">
        <f>IFERROR(MID(VLOOKUP($B273,Seqs!$A:$B,2,0),AG273,1),"")</f>
        <v>C</v>
      </c>
      <c r="AG273" s="3">
        <v>225</v>
      </c>
      <c r="AH273" s="3" t="str">
        <f>IFERROR(MID(VLOOKUP($B273,Seqs!$A:$B,2,0),AI273,1),"")</f>
        <v>P</v>
      </c>
      <c r="AI273" s="3">
        <v>227</v>
      </c>
      <c r="AJ273" s="3" t="str">
        <f>IFERROR(MID(VLOOKUP($B273,Seqs!$A:$B,2,0),AK273,1),"")</f>
        <v>T</v>
      </c>
      <c r="AK273" s="3">
        <v>231</v>
      </c>
      <c r="AL273" s="3" t="str">
        <f>IFERROR(MID(VLOOKUP($B273,Seqs!$A:$B,2,0),AM273,1),"")</f>
        <v>Q</v>
      </c>
      <c r="AM273" s="3">
        <v>270</v>
      </c>
      <c r="AN273" s="3" t="str">
        <f>IFERROR(MID(VLOOKUP($B273,Seqs!$A:$B,2,0),AO273,1),"")</f>
        <v>G</v>
      </c>
      <c r="AO273" s="3">
        <v>298</v>
      </c>
      <c r="AP273" s="3" t="str">
        <f>IFERROR(MID(VLOOKUP($B273,Seqs!$A:$B,2,0),AQ273,1),"")</f>
        <v>I</v>
      </c>
      <c r="AQ273" s="3">
        <v>334</v>
      </c>
      <c r="AR273" s="3" t="str">
        <f>IFERROR(MID(VLOOKUP($B273,Seqs!$A:$B,2,0),AS273,1),"")</f>
        <v>T</v>
      </c>
      <c r="AS273" s="3">
        <v>340</v>
      </c>
      <c r="AT273" s="3" t="str">
        <f>IFERROR(MID(VLOOKUP($B273,Seqs!$A:$B,2,0),AU273,1),"")</f>
        <v>V</v>
      </c>
      <c r="AU273" s="3">
        <v>372</v>
      </c>
      <c r="AV273" s="3" t="str">
        <f>IFERROR(MID(VLOOKUP($B273,Seqs!$A:$B,2,0),AW273,1),"")</f>
        <v>S</v>
      </c>
      <c r="AW273" s="3">
        <v>373</v>
      </c>
      <c r="AX273" s="3" t="str">
        <f>IFERROR(MID(VLOOKUP($B273,Seqs!$A:$B,2,0),AY273,1),"")</f>
        <v>L</v>
      </c>
      <c r="AY273" s="3">
        <v>384</v>
      </c>
      <c r="AZ273" s="77" t="str">
        <f>VLOOKUP(B273,Classification!A:D,2,0)</f>
        <v>A</v>
      </c>
      <c r="BA273" s="94" t="str">
        <f>VLOOKUP(B273,Classification!A:D,4,0)</f>
        <v>Neurotensin</v>
      </c>
      <c r="BB273" s="27" t="b">
        <f t="shared" si="1956"/>
        <v>1</v>
      </c>
      <c r="BC273" s="23">
        <f t="shared" si="1705"/>
        <v>260</v>
      </c>
      <c r="BD273" s="16" t="s">
        <v>1370</v>
      </c>
      <c r="BE273" s="3" t="s">
        <v>1368</v>
      </c>
      <c r="BF273" s="118">
        <v>2.75</v>
      </c>
      <c r="BG273" s="49" t="s">
        <v>1371</v>
      </c>
      <c r="BH273" s="49" t="s">
        <v>1371</v>
      </c>
      <c r="BI273" s="1"/>
      <c r="BJ273" s="70" t="s">
        <v>1281</v>
      </c>
      <c r="BK273" s="57" t="s">
        <v>1281</v>
      </c>
      <c r="BL273" s="57" t="s">
        <v>1281</v>
      </c>
      <c r="BM273" s="57" t="s">
        <v>1281</v>
      </c>
      <c r="BN273" s="57" t="s">
        <v>1281</v>
      </c>
      <c r="BO273" s="57" t="s">
        <v>1281</v>
      </c>
      <c r="BP273" s="57" t="s">
        <v>1281</v>
      </c>
      <c r="BQ273" s="57" t="s">
        <v>1281</v>
      </c>
      <c r="BR273" s="57" t="s">
        <v>1281</v>
      </c>
      <c r="BS273" s="57" t="s">
        <v>1281</v>
      </c>
      <c r="BT273" s="57" t="s">
        <v>1281</v>
      </c>
      <c r="BU273" s="57" t="s">
        <v>1281</v>
      </c>
      <c r="BV273" s="70">
        <f t="shared" si="1706"/>
        <v>61</v>
      </c>
      <c r="BW273" s="71" t="str">
        <f t="shared" si="1707"/>
        <v>-</v>
      </c>
      <c r="BX273" s="72">
        <f t="shared" si="1708"/>
        <v>97</v>
      </c>
      <c r="BY273" s="71">
        <f t="shared" si="1709"/>
        <v>134</v>
      </c>
      <c r="BZ273" s="72">
        <f t="shared" si="1710"/>
        <v>138</v>
      </c>
      <c r="CA273" s="71" t="str">
        <f t="shared" si="1711"/>
        <v>-</v>
      </c>
      <c r="CB273" s="72">
        <f t="shared" si="1712"/>
        <v>182</v>
      </c>
      <c r="CC273" s="71">
        <f t="shared" si="1713"/>
        <v>225</v>
      </c>
      <c r="CD273" s="72">
        <f t="shared" si="1714"/>
        <v>231</v>
      </c>
      <c r="CE273" s="71">
        <f t="shared" si="1715"/>
        <v>298</v>
      </c>
      <c r="CF273" s="72">
        <f t="shared" si="1716"/>
        <v>340</v>
      </c>
      <c r="CG273" s="71">
        <f t="shared" si="1717"/>
        <v>373</v>
      </c>
      <c r="CH273" s="70">
        <f t="shared" si="1718"/>
        <v>91</v>
      </c>
      <c r="CI273" s="71" t="str">
        <f t="shared" si="1719"/>
        <v>-</v>
      </c>
      <c r="CJ273" s="72">
        <f t="shared" si="1720"/>
        <v>131</v>
      </c>
      <c r="CK273" s="72">
        <f t="shared" si="1721"/>
        <v>137</v>
      </c>
      <c r="CL273" s="72">
        <f t="shared" si="1722"/>
        <v>173</v>
      </c>
      <c r="CM273" s="72" t="str">
        <f t="shared" si="1723"/>
        <v>-</v>
      </c>
      <c r="CN273" s="72">
        <f t="shared" si="1724"/>
        <v>208</v>
      </c>
      <c r="CO273" s="72">
        <f t="shared" si="1725"/>
        <v>227</v>
      </c>
      <c r="CP273" s="72">
        <f t="shared" si="1726"/>
        <v>270</v>
      </c>
      <c r="CQ273" s="72">
        <f t="shared" si="1727"/>
        <v>334</v>
      </c>
      <c r="CR273" s="72">
        <f t="shared" si="1728"/>
        <v>372</v>
      </c>
      <c r="CS273" s="72">
        <f t="shared" si="1729"/>
        <v>384</v>
      </c>
      <c r="CT273" s="23" t="e">
        <f t="shared" si="1730"/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1955"/>
        <v>ntr1_rat_4GRV</v>
      </c>
      <c r="B274" s="3" t="s">
        <v>907</v>
      </c>
      <c r="C274" s="3" t="s">
        <v>50</v>
      </c>
      <c r="D274" s="3" t="str">
        <f>IFERROR(MID(VLOOKUP($B274,Seqs!$A:$B,2,0),E274,1),"")</f>
        <v>I</v>
      </c>
      <c r="E274" s="3">
        <v>61</v>
      </c>
      <c r="F274" s="3" t="str">
        <f>IFERROR(MID(VLOOKUP($B274,Seqs!$A:$B,2,0),G274,1),"")</f>
        <v>T</v>
      </c>
      <c r="G274" s="3">
        <v>88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Q</v>
      </c>
      <c r="M274" s="3">
        <v>99</v>
      </c>
      <c r="N274" s="3" t="str">
        <f>IFERROR(MID(VLOOKUP($B274,Seqs!$A:$B,2,0),O274,1),"")</f>
        <v>V</v>
      </c>
      <c r="O274" s="3">
        <v>131</v>
      </c>
      <c r="P274" s="3" t="str">
        <f>IFERROR(MID(VLOOKUP($B274,Seqs!$A:$B,2,0),Q274,1),"")</f>
        <v>P</v>
      </c>
      <c r="Q274" s="3">
        <v>134</v>
      </c>
      <c r="R274" s="3" t="str">
        <f>IFERROR(MID(VLOOKUP($B274,Seqs!$A:$B,2,0),S274,1),"")</f>
        <v>F</v>
      </c>
      <c r="S274" s="3">
        <v>137</v>
      </c>
      <c r="T274" s="3" t="str">
        <f>IFERROR(MID(VLOOKUP($B274,Seqs!$A:$B,2,0),U274,1),"")</f>
        <v>G</v>
      </c>
      <c r="U274" s="3">
        <v>138</v>
      </c>
      <c r="V274" s="3" t="str">
        <f>IFERROR(MID(VLOOKUP($B274,Seqs!$A:$B,2,0),W274,1),"")</f>
        <v>H</v>
      </c>
      <c r="W274" s="3">
        <v>173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9">
        <v>186</v>
      </c>
      <c r="AD274" s="3" t="str">
        <f>IFERROR(MID(VLOOKUP($B274,Seqs!$A:$B,2,0),AE274,1),"")</f>
        <v>M</v>
      </c>
      <c r="AE274" s="3">
        <v>208</v>
      </c>
      <c r="AF274" s="3" t="str">
        <f>IFERROR(MID(VLOOKUP($B274,Seqs!$A:$B,2,0),AG274,1),"")</f>
        <v>C</v>
      </c>
      <c r="AG274" s="3">
        <v>225</v>
      </c>
      <c r="AH274" s="3" t="str">
        <f>IFERROR(MID(VLOOKUP($B274,Seqs!$A:$B,2,0),AI274,1),"")</f>
        <v>P</v>
      </c>
      <c r="AI274" s="3">
        <v>227</v>
      </c>
      <c r="AJ274" s="3" t="str">
        <f>IFERROR(MID(VLOOKUP($B274,Seqs!$A:$B,2,0),AK274,1),"")</f>
        <v>T</v>
      </c>
      <c r="AK274" s="3">
        <v>231</v>
      </c>
      <c r="AL274" s="3" t="str">
        <f>IFERROR(MID(VLOOKUP($B274,Seqs!$A:$B,2,0),AM274,1),"")</f>
        <v>T</v>
      </c>
      <c r="AM274" s="3">
        <v>265</v>
      </c>
      <c r="AN274" s="3" t="str">
        <f>IFERROR(MID(VLOOKUP($B274,Seqs!$A:$B,2,0),AO274,1),"")</f>
        <v>A</v>
      </c>
      <c r="AO274" s="3">
        <v>302</v>
      </c>
      <c r="AP274" s="3" t="str">
        <f>IFERROR(MID(VLOOKUP($B274,Seqs!$A:$B,2,0),AQ274,1),"")</f>
        <v>I</v>
      </c>
      <c r="AQ274" s="3">
        <v>334</v>
      </c>
      <c r="AR274" s="3" t="str">
        <f>IFERROR(MID(VLOOKUP($B274,Seqs!$A:$B,2,0),AS274,1),"")</f>
        <v>T</v>
      </c>
      <c r="AS274" s="3">
        <v>340</v>
      </c>
      <c r="AT274" s="3" t="str">
        <f>IFERROR(MID(VLOOKUP($B274,Seqs!$A:$B,2,0),AU274,1),"")</f>
        <v>S</v>
      </c>
      <c r="AU274" s="3">
        <v>361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Neurotensin</v>
      </c>
      <c r="BB274" s="27" t="b">
        <f t="shared" si="1956"/>
        <v>1</v>
      </c>
      <c r="BC274" s="23">
        <f t="shared" si="1705"/>
        <v>220</v>
      </c>
      <c r="BD274" s="5" t="s">
        <v>23</v>
      </c>
      <c r="BE274" s="3" t="s">
        <v>1422</v>
      </c>
      <c r="BF274" s="118">
        <v>2.8</v>
      </c>
      <c r="BG274" s="49" t="s">
        <v>1371</v>
      </c>
      <c r="BH274" s="49" t="s">
        <v>1371</v>
      </c>
      <c r="BI274" s="1"/>
      <c r="BJ274" s="70" t="s">
        <v>1281</v>
      </c>
      <c r="BK274" s="57" t="s">
        <v>1281</v>
      </c>
      <c r="BL274" s="57" t="s">
        <v>1281</v>
      </c>
      <c r="BM274" s="57" t="s">
        <v>1281</v>
      </c>
      <c r="BN274" s="57" t="s">
        <v>1281</v>
      </c>
      <c r="BO274" s="57" t="s">
        <v>1281</v>
      </c>
      <c r="BP274" s="57" t="s">
        <v>1281</v>
      </c>
      <c r="BQ274" s="57" t="s">
        <v>1281</v>
      </c>
      <c r="BR274" s="57" t="s">
        <v>1281</v>
      </c>
      <c r="BS274" s="57" t="s">
        <v>1281</v>
      </c>
      <c r="BT274" s="57" t="s">
        <v>1281</v>
      </c>
      <c r="BU274" s="57" t="s">
        <v>1281</v>
      </c>
      <c r="BV274" s="70">
        <f t="shared" si="1706"/>
        <v>61</v>
      </c>
      <c r="BW274" s="71" t="str">
        <f t="shared" si="1707"/>
        <v>-</v>
      </c>
      <c r="BX274" s="72">
        <f t="shared" si="1708"/>
        <v>99</v>
      </c>
      <c r="BY274" s="71">
        <f t="shared" si="1709"/>
        <v>134</v>
      </c>
      <c r="BZ274" s="72">
        <f t="shared" si="1710"/>
        <v>138</v>
      </c>
      <c r="CA274" s="71" t="str">
        <f t="shared" si="1711"/>
        <v>-</v>
      </c>
      <c r="CB274" s="72">
        <f t="shared" si="1712"/>
        <v>186</v>
      </c>
      <c r="CC274" s="71">
        <f t="shared" si="1713"/>
        <v>225</v>
      </c>
      <c r="CD274" s="72">
        <f t="shared" si="1714"/>
        <v>231</v>
      </c>
      <c r="CE274" s="71">
        <f t="shared" si="1715"/>
        <v>302</v>
      </c>
      <c r="CF274" s="72">
        <f t="shared" si="1716"/>
        <v>340</v>
      </c>
      <c r="CG274" s="71" t="str">
        <f t="shared" si="1717"/>
        <v>-</v>
      </c>
      <c r="CH274" s="70">
        <f t="shared" si="1718"/>
        <v>88</v>
      </c>
      <c r="CI274" s="71" t="str">
        <f t="shared" si="1719"/>
        <v>-</v>
      </c>
      <c r="CJ274" s="72">
        <f t="shared" si="1720"/>
        <v>131</v>
      </c>
      <c r="CK274" s="72">
        <f t="shared" si="1721"/>
        <v>137</v>
      </c>
      <c r="CL274" s="72">
        <f t="shared" si="1722"/>
        <v>173</v>
      </c>
      <c r="CM274" s="72" t="str">
        <f t="shared" si="1723"/>
        <v>-</v>
      </c>
      <c r="CN274" s="72">
        <f t="shared" si="1724"/>
        <v>208</v>
      </c>
      <c r="CO274" s="72">
        <f t="shared" si="1725"/>
        <v>227</v>
      </c>
      <c r="CP274" s="72">
        <f t="shared" si="1726"/>
        <v>265</v>
      </c>
      <c r="CQ274" s="72">
        <f t="shared" si="1727"/>
        <v>334</v>
      </c>
      <c r="CR274" s="72">
        <f t="shared" si="1728"/>
        <v>361</v>
      </c>
      <c r="CS274" s="72" t="str">
        <f t="shared" si="1729"/>
        <v>-</v>
      </c>
      <c r="CT274" s="23" t="e">
        <f t="shared" si="1730"/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955"/>
        <v>ntr1_rat_4XEE</v>
      </c>
      <c r="B275" s="3" t="s">
        <v>907</v>
      </c>
      <c r="C275" s="3" t="s">
        <v>1344</v>
      </c>
      <c r="D275" s="3" t="str">
        <f>IFERROR(MID(VLOOKUP($B275,Seqs!$A:$B,2,0),E275,1),"")</f>
        <v>I</v>
      </c>
      <c r="E275" s="3">
        <v>61</v>
      </c>
      <c r="F275" s="3" t="str">
        <f>IFERROR(MID(VLOOKUP($B275,Seqs!$A:$B,2,0),G275,1),"")</f>
        <v>R</v>
      </c>
      <c r="G275" s="3">
        <v>91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S</v>
      </c>
      <c r="M275" s="3">
        <v>100</v>
      </c>
      <c r="N275" s="3" t="str">
        <f>IFERROR(MID(VLOOKUP($B275,Seqs!$A:$B,2,0),O275,1),"")</f>
        <v>V</v>
      </c>
      <c r="O275" s="3">
        <v>131</v>
      </c>
      <c r="P275" s="3" t="str">
        <f>IFERROR(MID(VLOOKUP($B275,Seqs!$A:$B,2,0),Q275,1),"")</f>
        <v>P</v>
      </c>
      <c r="Q275" s="3">
        <v>134</v>
      </c>
      <c r="R275" s="3" t="str">
        <f>IFERROR(MID(VLOOKUP($B275,Seqs!$A:$B,2,0),S275,1),"")</f>
        <v>F</v>
      </c>
      <c r="S275" s="3">
        <v>137</v>
      </c>
      <c r="T275" s="3" t="str">
        <f>IFERROR(MID(VLOOKUP($B275,Seqs!$A:$B,2,0),U275,1),"")</f>
        <v>G</v>
      </c>
      <c r="U275" s="3">
        <v>138</v>
      </c>
      <c r="V275" s="3" t="str">
        <f>IFERROR(MID(VLOOKUP($B275,Seqs!$A:$B,2,0),W275,1),"")</f>
        <v>H</v>
      </c>
      <c r="W275" s="3">
        <v>173</v>
      </c>
      <c r="X275" s="3" t="str">
        <f>IFERROR(MID(VLOOKUP($B275,Seqs!$A:$B,2,0),Y275,1),"")</f>
        <v>P</v>
      </c>
      <c r="Y275" s="3">
        <v>174</v>
      </c>
      <c r="Z275" s="3" t="str">
        <f>IFERROR(MID(VLOOKUP($B275,Seqs!$A:$B,2,0),AA275,1),"")</f>
        <v>M</v>
      </c>
      <c r="AA275" s="3">
        <v>181</v>
      </c>
      <c r="AB275" s="3" t="str">
        <f>IFERROR(MID(VLOOKUP($B275,Seqs!$A:$B,2,0),AC275,1),"")</f>
        <v>S</v>
      </c>
      <c r="AC275" s="9">
        <v>182</v>
      </c>
      <c r="AD275" s="3" t="str">
        <f>IFERROR(MID(VLOOKUP($B275,Seqs!$A:$B,2,0),AE275,1),"")</f>
        <v>M</v>
      </c>
      <c r="AE275" s="3">
        <v>208</v>
      </c>
      <c r="AF275" s="3" t="str">
        <f>IFERROR(MID(VLOOKUP($B275,Seqs!$A:$B,2,0),AG275,1),"")</f>
        <v>C</v>
      </c>
      <c r="AG275" s="3">
        <v>225</v>
      </c>
      <c r="AH275" s="3" t="str">
        <f>IFERROR(MID(VLOOKUP($B275,Seqs!$A:$B,2,0),AI275,1),"")</f>
        <v>P</v>
      </c>
      <c r="AI275" s="3">
        <v>227</v>
      </c>
      <c r="AJ275" s="3" t="str">
        <f>IFERROR(MID(VLOOKUP($B275,Seqs!$A:$B,2,0),AK275,1),"")</f>
        <v>T</v>
      </c>
      <c r="AK275" s="3">
        <v>231</v>
      </c>
      <c r="AL275" s="3" t="str">
        <f>IFERROR(MID(VLOOKUP($B275,Seqs!$A:$B,2,0),AM275,1),"")</f>
        <v>V</v>
      </c>
      <c r="AM275" s="3">
        <v>268</v>
      </c>
      <c r="AN275" s="3" t="str">
        <f>IFERROR(MID(VLOOKUP($B275,Seqs!$A:$B,2,0),AO275,1),"")</f>
        <v>Q</v>
      </c>
      <c r="AO275" s="3">
        <v>301</v>
      </c>
      <c r="AP275" s="3" t="str">
        <f>IFERROR(MID(VLOOKUP($B275,Seqs!$A:$B,2,0),AQ275,1),"")</f>
        <v>I</v>
      </c>
      <c r="AQ275" s="3">
        <v>334</v>
      </c>
      <c r="AR275" s="3" t="str">
        <f>IFERROR(MID(VLOOKUP($B275,Seqs!$A:$B,2,0),AS275,1),"")</f>
        <v>T</v>
      </c>
      <c r="AS275" s="3">
        <v>340</v>
      </c>
      <c r="AT275" s="3" t="str">
        <f>IFERROR(MID(VLOOKUP($B275,Seqs!$A:$B,2,0),AU275,1),"")</f>
        <v>I</v>
      </c>
      <c r="AU275" s="3">
        <v>364</v>
      </c>
      <c r="AV275" s="3" t="str">
        <f>IFERROR(MID(VLOOKUP($B275,Seqs!$A:$B,2,0),AW275,1),"")</f>
        <v/>
      </c>
      <c r="AW275" s="3" t="s">
        <v>23</v>
      </c>
      <c r="AX275" s="3" t="str">
        <f>IFERROR(MID(VLOOKUP($B275,Seqs!$A:$B,2,0),AY275,1),"")</f>
        <v/>
      </c>
      <c r="AY275" s="3" t="s">
        <v>23</v>
      </c>
      <c r="AZ275" s="77" t="str">
        <f>VLOOKUP(B275,Classification!A:D,2,0)</f>
        <v>A</v>
      </c>
      <c r="BA275" s="94" t="str">
        <f>VLOOKUP(B275,Classification!A:D,4,0)</f>
        <v>Neurotensin</v>
      </c>
      <c r="BB275" s="27" t="b">
        <f t="shared" si="1956"/>
        <v>1</v>
      </c>
      <c r="BC275" s="23">
        <f t="shared" si="1705"/>
        <v>240</v>
      </c>
      <c r="BD275" s="4" t="s">
        <v>23</v>
      </c>
      <c r="BE275" s="3" t="s">
        <v>1422</v>
      </c>
      <c r="BF275" s="118">
        <v>2.9</v>
      </c>
      <c r="BG275" s="49" t="s">
        <v>1371</v>
      </c>
      <c r="BH275" s="49" t="s">
        <v>1371</v>
      </c>
      <c r="BI275" s="1"/>
      <c r="BJ275" s="70" t="s">
        <v>1281</v>
      </c>
      <c r="BK275" s="57" t="s">
        <v>1281</v>
      </c>
      <c r="BL275" s="57" t="s">
        <v>1281</v>
      </c>
      <c r="BM275" s="57" t="s">
        <v>1281</v>
      </c>
      <c r="BN275" s="57" t="s">
        <v>1281</v>
      </c>
      <c r="BO275" s="57" t="s">
        <v>1281</v>
      </c>
      <c r="BP275" s="57" t="s">
        <v>1281</v>
      </c>
      <c r="BQ275" s="57" t="s">
        <v>1281</v>
      </c>
      <c r="BR275" s="57" t="s">
        <v>1281</v>
      </c>
      <c r="BS275" s="57" t="s">
        <v>1281</v>
      </c>
      <c r="BT275" s="57" t="s">
        <v>1281</v>
      </c>
      <c r="BU275" s="57" t="s">
        <v>1281</v>
      </c>
      <c r="BV275" s="70">
        <f t="shared" si="1706"/>
        <v>61</v>
      </c>
      <c r="BW275" s="71" t="str">
        <f t="shared" si="1707"/>
        <v>-</v>
      </c>
      <c r="BX275" s="72">
        <f t="shared" si="1708"/>
        <v>100</v>
      </c>
      <c r="BY275" s="71">
        <f t="shared" si="1709"/>
        <v>134</v>
      </c>
      <c r="BZ275" s="72">
        <f t="shared" si="1710"/>
        <v>138</v>
      </c>
      <c r="CA275" s="71">
        <f t="shared" si="1711"/>
        <v>174</v>
      </c>
      <c r="CB275" s="72">
        <f t="shared" si="1712"/>
        <v>182</v>
      </c>
      <c r="CC275" s="71">
        <f t="shared" si="1713"/>
        <v>225</v>
      </c>
      <c r="CD275" s="72">
        <f t="shared" si="1714"/>
        <v>231</v>
      </c>
      <c r="CE275" s="71">
        <f t="shared" si="1715"/>
        <v>301</v>
      </c>
      <c r="CF275" s="72">
        <f t="shared" si="1716"/>
        <v>340</v>
      </c>
      <c r="CG275" s="71" t="str">
        <f t="shared" si="1717"/>
        <v>-</v>
      </c>
      <c r="CH275" s="70">
        <f t="shared" si="1718"/>
        <v>91</v>
      </c>
      <c r="CI275" s="71" t="str">
        <f t="shared" si="1719"/>
        <v>-</v>
      </c>
      <c r="CJ275" s="72">
        <f t="shared" si="1720"/>
        <v>131</v>
      </c>
      <c r="CK275" s="72">
        <f t="shared" si="1721"/>
        <v>137</v>
      </c>
      <c r="CL275" s="72">
        <f t="shared" si="1722"/>
        <v>173</v>
      </c>
      <c r="CM275" s="72">
        <f t="shared" si="1723"/>
        <v>181</v>
      </c>
      <c r="CN275" s="72">
        <f t="shared" si="1724"/>
        <v>208</v>
      </c>
      <c r="CO275" s="72">
        <f t="shared" si="1725"/>
        <v>227</v>
      </c>
      <c r="CP275" s="72">
        <f t="shared" si="1726"/>
        <v>268</v>
      </c>
      <c r="CQ275" s="72">
        <f t="shared" si="1727"/>
        <v>334</v>
      </c>
      <c r="CR275" s="72">
        <f t="shared" si="1728"/>
        <v>364</v>
      </c>
      <c r="CS275" s="72" t="str">
        <f t="shared" si="1729"/>
        <v>-</v>
      </c>
      <c r="CT275" s="23" t="e">
        <f t="shared" si="1730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955"/>
        <v>ntr1_rat_4XES</v>
      </c>
      <c r="B276" s="3" t="s">
        <v>907</v>
      </c>
      <c r="C276" s="3" t="s">
        <v>1345</v>
      </c>
      <c r="D276" s="3" t="str">
        <f>IFERROR(MID(VLOOKUP($B276,Seqs!$A:$B,2,0),E276,1),"")</f>
        <v>I</v>
      </c>
      <c r="E276" s="3">
        <v>61</v>
      </c>
      <c r="F276" s="3" t="str">
        <f>IFERROR(MID(VLOOKUP($B276,Seqs!$A:$B,2,0),G276,1),"")</f>
        <v>K</v>
      </c>
      <c r="G276" s="3">
        <v>92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97</v>
      </c>
      <c r="N276" s="3" t="str">
        <f>IFERROR(MID(VLOOKUP($B276,Seqs!$A:$B,2,0),O276,1),"")</f>
        <v>V</v>
      </c>
      <c r="O276" s="3">
        <v>131</v>
      </c>
      <c r="P276" s="3" t="str">
        <f>IFERROR(MID(VLOOKUP($B276,Seqs!$A:$B,2,0),Q276,1),"")</f>
        <v>P</v>
      </c>
      <c r="Q276" s="3">
        <v>134</v>
      </c>
      <c r="R276" s="3" t="str">
        <f>IFERROR(MID(VLOOKUP($B276,Seqs!$A:$B,2,0),S276,1),"")</f>
        <v>F</v>
      </c>
      <c r="S276" s="3">
        <v>137</v>
      </c>
      <c r="T276" s="3" t="str">
        <f>IFERROR(MID(VLOOKUP($B276,Seqs!$A:$B,2,0),U276,1),"")</f>
        <v>G</v>
      </c>
      <c r="U276" s="3">
        <v>138</v>
      </c>
      <c r="V276" s="3" t="str">
        <f>IFERROR(MID(VLOOKUP($B276,Seqs!$A:$B,2,0),W276,1),"")</f>
        <v>H</v>
      </c>
      <c r="W276" s="3">
        <v>173</v>
      </c>
      <c r="X276" s="3" t="str">
        <f>IFERROR(MID(VLOOKUP($B276,Seqs!$A:$B,2,0),Y276,1),"")</f>
        <v>P</v>
      </c>
      <c r="Y276" s="3">
        <v>174</v>
      </c>
      <c r="Z276" s="3" t="str">
        <f>IFERROR(MID(VLOOKUP($B276,Seqs!$A:$B,2,0),AA276,1),"")</f>
        <v>M</v>
      </c>
      <c r="AA276" s="3">
        <v>181</v>
      </c>
      <c r="AB276" s="3" t="str">
        <f>IFERROR(MID(VLOOKUP($B276,Seqs!$A:$B,2,0),AC276,1),"")</f>
        <v>S</v>
      </c>
      <c r="AC276" s="9">
        <v>182</v>
      </c>
      <c r="AD276" s="3" t="str">
        <f>IFERROR(MID(VLOOKUP($B276,Seqs!$A:$B,2,0),AE276,1),"")</f>
        <v>M</v>
      </c>
      <c r="AE276" s="3">
        <v>208</v>
      </c>
      <c r="AF276" s="3" t="str">
        <f>IFERROR(MID(VLOOKUP($B276,Seqs!$A:$B,2,0),AG276,1),"")</f>
        <v>C</v>
      </c>
      <c r="AG276" s="3">
        <v>225</v>
      </c>
      <c r="AH276" s="3" t="str">
        <f>IFERROR(MID(VLOOKUP($B276,Seqs!$A:$B,2,0),AI276,1),"")</f>
        <v>P</v>
      </c>
      <c r="AI276" s="3">
        <v>227</v>
      </c>
      <c r="AJ276" s="3" t="str">
        <f>IFERROR(MID(VLOOKUP($B276,Seqs!$A:$B,2,0),AK276,1),"")</f>
        <v>T</v>
      </c>
      <c r="AK276" s="3">
        <v>231</v>
      </c>
      <c r="AL276" s="3" t="str">
        <f>IFERROR(MID(VLOOKUP($B276,Seqs!$A:$B,2,0),AM276,1),"")</f>
        <v>V</v>
      </c>
      <c r="AM276" s="3">
        <v>268</v>
      </c>
      <c r="AN276" s="3" t="str">
        <f>IFERROR(MID(VLOOKUP($B276,Seqs!$A:$B,2,0),AO276,1),"")</f>
        <v>A</v>
      </c>
      <c r="AO276" s="3">
        <v>302</v>
      </c>
      <c r="AP276" s="3" t="str">
        <f>IFERROR(MID(VLOOKUP($B276,Seqs!$A:$B,2,0),AQ276,1),"")</f>
        <v>I</v>
      </c>
      <c r="AQ276" s="3">
        <v>334</v>
      </c>
      <c r="AR276" s="3" t="str">
        <f>IFERROR(MID(VLOOKUP($B276,Seqs!$A:$B,2,0),AS276,1),"")</f>
        <v>T</v>
      </c>
      <c r="AS276" s="3">
        <v>340</v>
      </c>
      <c r="AT276" s="3" t="str">
        <f>IFERROR(MID(VLOOKUP($B276,Seqs!$A:$B,2,0),AU276,1),"")</f>
        <v>I</v>
      </c>
      <c r="AU276" s="3">
        <v>364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Neurotensin</v>
      </c>
      <c r="BB276" s="27" t="b">
        <f t="shared" si="1956"/>
        <v>1</v>
      </c>
      <c r="BC276" s="23">
        <f t="shared" si="1705"/>
        <v>243</v>
      </c>
      <c r="BD276" s="5" t="s">
        <v>23</v>
      </c>
      <c r="BE276" s="3" t="s">
        <v>1422</v>
      </c>
      <c r="BF276" s="118">
        <v>2.6</v>
      </c>
      <c r="BG276" s="49" t="s">
        <v>1371</v>
      </c>
      <c r="BH276" s="49" t="s">
        <v>1371</v>
      </c>
      <c r="BI276" s="1"/>
      <c r="BJ276" s="70" t="s">
        <v>1281</v>
      </c>
      <c r="BK276" s="57" t="s">
        <v>1281</v>
      </c>
      <c r="BL276" s="57" t="s">
        <v>1281</v>
      </c>
      <c r="BM276" s="57" t="s">
        <v>1281</v>
      </c>
      <c r="BN276" s="57" t="s">
        <v>1281</v>
      </c>
      <c r="BO276" s="57" t="s">
        <v>1281</v>
      </c>
      <c r="BP276" s="57" t="s">
        <v>1281</v>
      </c>
      <c r="BQ276" s="57" t="s">
        <v>1281</v>
      </c>
      <c r="BR276" s="57" t="s">
        <v>1281</v>
      </c>
      <c r="BS276" s="57" t="s">
        <v>1281</v>
      </c>
      <c r="BT276" s="57" t="s">
        <v>1281</v>
      </c>
      <c r="BU276" s="57" t="s">
        <v>1281</v>
      </c>
      <c r="BV276" s="70">
        <f t="shared" si="1706"/>
        <v>61</v>
      </c>
      <c r="BW276" s="71" t="str">
        <f t="shared" si="1707"/>
        <v>-</v>
      </c>
      <c r="BX276" s="72">
        <f t="shared" si="1708"/>
        <v>97</v>
      </c>
      <c r="BY276" s="71">
        <f t="shared" si="1709"/>
        <v>134</v>
      </c>
      <c r="BZ276" s="72">
        <f t="shared" si="1710"/>
        <v>138</v>
      </c>
      <c r="CA276" s="71">
        <f t="shared" si="1711"/>
        <v>174</v>
      </c>
      <c r="CB276" s="72">
        <f t="shared" si="1712"/>
        <v>182</v>
      </c>
      <c r="CC276" s="71">
        <f t="shared" si="1713"/>
        <v>225</v>
      </c>
      <c r="CD276" s="72">
        <f t="shared" si="1714"/>
        <v>231</v>
      </c>
      <c r="CE276" s="71">
        <f t="shared" si="1715"/>
        <v>302</v>
      </c>
      <c r="CF276" s="72">
        <f t="shared" si="1716"/>
        <v>340</v>
      </c>
      <c r="CG276" s="71" t="str">
        <f t="shared" si="1717"/>
        <v>-</v>
      </c>
      <c r="CH276" s="70">
        <f t="shared" si="1718"/>
        <v>92</v>
      </c>
      <c r="CI276" s="71" t="str">
        <f t="shared" si="1719"/>
        <v>-</v>
      </c>
      <c r="CJ276" s="72">
        <f t="shared" si="1720"/>
        <v>131</v>
      </c>
      <c r="CK276" s="72">
        <f t="shared" si="1721"/>
        <v>137</v>
      </c>
      <c r="CL276" s="72">
        <f t="shared" si="1722"/>
        <v>173</v>
      </c>
      <c r="CM276" s="72">
        <f t="shared" si="1723"/>
        <v>181</v>
      </c>
      <c r="CN276" s="72">
        <f t="shared" si="1724"/>
        <v>208</v>
      </c>
      <c r="CO276" s="72">
        <f t="shared" si="1725"/>
        <v>227</v>
      </c>
      <c r="CP276" s="72">
        <f t="shared" si="1726"/>
        <v>268</v>
      </c>
      <c r="CQ276" s="72">
        <f t="shared" si="1727"/>
        <v>334</v>
      </c>
      <c r="CR276" s="72">
        <f t="shared" si="1728"/>
        <v>364</v>
      </c>
      <c r="CS276" s="72" t="str">
        <f t="shared" si="1729"/>
        <v>-</v>
      </c>
      <c r="CT276" s="23" t="e">
        <f t="shared" si="1730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>CONCATENATE(B277,"_",C277)</f>
        <v>ntr1_rat_5T04</v>
      </c>
      <c r="B277" s="3" t="s">
        <v>907</v>
      </c>
      <c r="C277" s="3" t="s">
        <v>1379</v>
      </c>
      <c r="D277" s="3" t="str">
        <f>IFERROR(MID(VLOOKUP($B277,Seqs!$A:$B,2,0),E277,1),"")</f>
        <v>I</v>
      </c>
      <c r="E277" s="3">
        <v>61</v>
      </c>
      <c r="F277" s="3" t="str">
        <f>IFERROR(MID(VLOOKUP($B277,Seqs!$A:$B,2,0),G277,1),"")</f>
        <v>T</v>
      </c>
      <c r="G277" s="3">
        <v>88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H</v>
      </c>
      <c r="M277" s="3">
        <v>103</v>
      </c>
      <c r="N277" s="3" t="str">
        <f>IFERROR(MID(VLOOKUP($B277,Seqs!$A:$B,2,0),O277,1),"")</f>
        <v>V</v>
      </c>
      <c r="O277" s="3">
        <v>131</v>
      </c>
      <c r="P277" s="3" t="str">
        <f>IFERROR(MID(VLOOKUP($B277,Seqs!$A:$B,2,0),Q277,1),"")</f>
        <v>P</v>
      </c>
      <c r="Q277" s="3">
        <v>134</v>
      </c>
      <c r="R277" s="3" t="str">
        <f>IFERROR(MID(VLOOKUP($B277,Seqs!$A:$B,2,0),S277,1),"")</f>
        <v>F</v>
      </c>
      <c r="S277" s="3">
        <v>137</v>
      </c>
      <c r="T277" s="3" t="str">
        <f>IFERROR(MID(VLOOKUP($B277,Seqs!$A:$B,2,0),U277,1),"")</f>
        <v>G</v>
      </c>
      <c r="U277" s="3">
        <v>138</v>
      </c>
      <c r="V277" s="3" t="str">
        <f>IFERROR(MID(VLOOKUP($B277,Seqs!$A:$B,2,0),W277,1),"")</f>
        <v>H</v>
      </c>
      <c r="W277" s="3">
        <v>173</v>
      </c>
      <c r="X277" s="3" t="str">
        <f>IFERROR(MID(VLOOKUP($B277,Seqs!$A:$B,2,0),Y277,1),"")</f>
        <v>P</v>
      </c>
      <c r="Y277" s="3">
        <v>174</v>
      </c>
      <c r="Z277" s="3" t="str">
        <f>IFERROR(MID(VLOOKUP($B277,Seqs!$A:$B,2,0),AA277,1),"")</f>
        <v>M</v>
      </c>
      <c r="AA277" s="3">
        <v>181</v>
      </c>
      <c r="AB277" s="3" t="str">
        <f>IFERROR(MID(VLOOKUP($B277,Seqs!$A:$B,2,0),AC277,1),"")</f>
        <v>S</v>
      </c>
      <c r="AC277" s="3">
        <v>182</v>
      </c>
      <c r="AD277" s="3" t="str">
        <f>IFERROR(MID(VLOOKUP($B277,Seqs!$A:$B,2,0),AE277,1),"")</f>
        <v>M</v>
      </c>
      <c r="AE277" s="3">
        <v>208</v>
      </c>
      <c r="AF277" s="3" t="str">
        <f>IFERROR(MID(VLOOKUP($B277,Seqs!$A:$B,2,0),AG277,1),"")</f>
        <v>C</v>
      </c>
      <c r="AG277" s="3">
        <v>225</v>
      </c>
      <c r="AH277" s="3" t="str">
        <f>IFERROR(MID(VLOOKUP($B277,Seqs!$A:$B,2,0),AI277,1),"")</f>
        <v>P</v>
      </c>
      <c r="AI277" s="3">
        <v>227</v>
      </c>
      <c r="AJ277" s="3" t="str">
        <f>IFERROR(MID(VLOOKUP($B277,Seqs!$A:$B,2,0),AK277,1),"")</f>
        <v>T</v>
      </c>
      <c r="AK277" s="3">
        <v>231</v>
      </c>
      <c r="AL277" s="3" t="str">
        <f>IFERROR(MID(VLOOKUP($B277,Seqs!$A:$B,2,0),AM277,1),"")</f>
        <v>V</v>
      </c>
      <c r="AM277" s="3">
        <v>268</v>
      </c>
      <c r="AN277" s="3" t="str">
        <f>IFERROR(MID(VLOOKUP($B277,Seqs!$A:$B,2,0),AO277,1),"")</f>
        <v>P</v>
      </c>
      <c r="AO277" s="3">
        <v>297</v>
      </c>
      <c r="AP277" s="3" t="str">
        <f>IFERROR(MID(VLOOKUP($B277,Seqs!$A:$B,2,0),AQ277,1),"")</f>
        <v>I</v>
      </c>
      <c r="AQ277" s="3">
        <v>334</v>
      </c>
      <c r="AR277" s="3" t="str">
        <f>IFERROR(MID(VLOOKUP($B277,Seqs!$A:$B,2,0),AS277,1),"")</f>
        <v>T</v>
      </c>
      <c r="AS277" s="3">
        <v>340</v>
      </c>
      <c r="AT277" s="3" t="str">
        <f>IFERROR(MID(VLOOKUP($B277,Seqs!$A:$B,2,0),AU277,1),"")</f>
        <v>I</v>
      </c>
      <c r="AU277" s="3">
        <v>364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Neurotensin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238</v>
      </c>
      <c r="BD277" s="5" t="s">
        <v>23</v>
      </c>
      <c r="BE277" s="3" t="s">
        <v>1285</v>
      </c>
      <c r="BF277" s="118">
        <v>3.3</v>
      </c>
      <c r="BG277" s="49" t="s">
        <v>1371</v>
      </c>
      <c r="BH277" s="49" t="s">
        <v>1371</v>
      </c>
      <c r="BI277" s="1"/>
      <c r="BJ277" s="70" t="s">
        <v>1281</v>
      </c>
      <c r="BK277" s="57" t="s">
        <v>1281</v>
      </c>
      <c r="BL277" s="57" t="s">
        <v>1281</v>
      </c>
      <c r="BM277" s="57" t="s">
        <v>1281</v>
      </c>
      <c r="BN277" s="57" t="s">
        <v>1281</v>
      </c>
      <c r="BO277" s="57" t="s">
        <v>1281</v>
      </c>
      <c r="BP277" s="57" t="s">
        <v>1281</v>
      </c>
      <c r="BQ277" s="57" t="s">
        <v>1281</v>
      </c>
      <c r="BR277" s="57" t="s">
        <v>1281</v>
      </c>
      <c r="BS277" s="57" t="s">
        <v>1281</v>
      </c>
      <c r="BT277" s="57" t="s">
        <v>1281</v>
      </c>
      <c r="BU277" s="57" t="s">
        <v>1281</v>
      </c>
      <c r="BV277" s="70">
        <f>E277</f>
        <v>61</v>
      </c>
      <c r="BW277" s="71" t="str">
        <f>I277</f>
        <v>-</v>
      </c>
      <c r="BX277" s="72">
        <f>M277</f>
        <v>103</v>
      </c>
      <c r="BY277" s="71">
        <f>Q277</f>
        <v>134</v>
      </c>
      <c r="BZ277" s="72">
        <f>U277</f>
        <v>138</v>
      </c>
      <c r="CA277" s="71">
        <f>Y277</f>
        <v>174</v>
      </c>
      <c r="CB277" s="72">
        <f>AC277</f>
        <v>182</v>
      </c>
      <c r="CC277" s="71">
        <f>AG277</f>
        <v>225</v>
      </c>
      <c r="CD277" s="72">
        <f>AK277</f>
        <v>231</v>
      </c>
      <c r="CE277" s="71">
        <f>AO277</f>
        <v>297</v>
      </c>
      <c r="CF277" s="72">
        <f>AS277</f>
        <v>340</v>
      </c>
      <c r="CG277" s="71" t="str">
        <f>AW277</f>
        <v>-</v>
      </c>
      <c r="CH277" s="70">
        <f>G277</f>
        <v>88</v>
      </c>
      <c r="CI277" s="71" t="str">
        <f>K277</f>
        <v>-</v>
      </c>
      <c r="CJ277" s="72">
        <f>O277</f>
        <v>131</v>
      </c>
      <c r="CK277" s="72">
        <f>S277</f>
        <v>137</v>
      </c>
      <c r="CL277" s="72">
        <f>W277</f>
        <v>173</v>
      </c>
      <c r="CM277" s="72">
        <f>AA277</f>
        <v>181</v>
      </c>
      <c r="CN277" s="72">
        <f>AE277</f>
        <v>208</v>
      </c>
      <c r="CO277" s="72">
        <f>AI277</f>
        <v>227</v>
      </c>
      <c r="CP277" s="72">
        <f>AM277</f>
        <v>268</v>
      </c>
      <c r="CQ277" s="72">
        <f>AQ277</f>
        <v>334</v>
      </c>
      <c r="CR277" s="72">
        <f>AU277</f>
        <v>364</v>
      </c>
      <c r="CS277" s="72" t="str">
        <f>AY277</f>
        <v>-</v>
      </c>
      <c r="CT277" s="23" t="e">
        <f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955"/>
        <v>oprd_human__wt</v>
      </c>
      <c r="B278" s="3" t="s">
        <v>334</v>
      </c>
      <c r="C278" s="3" t="s">
        <v>100</v>
      </c>
      <c r="D278" s="3" t="str">
        <f>IFERROR(MID(VLOOKUP($B278,Seqs!$A:$B,2,0),E278,1),"")</f>
        <v>G</v>
      </c>
      <c r="E278" s="3">
        <v>39</v>
      </c>
      <c r="F278" s="3" t="str">
        <f>IFERROR(MID(VLOOKUP($B278,Seqs!$A:$B,2,0),G278,1),"")</f>
        <v>Y</v>
      </c>
      <c r="G278" s="3">
        <v>77</v>
      </c>
      <c r="H278" s="3" t="str">
        <f>IFERROR(MID(VLOOKUP($B278,Seqs!$A:$B,2,0),I278,1),"")</f>
        <v>T</v>
      </c>
      <c r="I278" s="23">
        <v>78</v>
      </c>
      <c r="J278" s="3" t="str">
        <f>IFERROR(MID(VLOOKUP($B278,Seqs!$A:$B,2,0),K278,1),"")</f>
        <v>K</v>
      </c>
      <c r="K278" s="23">
        <v>81</v>
      </c>
      <c r="L278" s="3" t="str">
        <f>IFERROR(MID(VLOOKUP($B278,Seqs!$A:$B,2,0),M278,1),"")</f>
        <v>T</v>
      </c>
      <c r="M278" s="3">
        <v>82</v>
      </c>
      <c r="N278" s="3" t="str">
        <f>IFERROR(MID(VLOOKUP($B278,Seqs!$A:$B,2,0),O278,1),"")</f>
        <v>M</v>
      </c>
      <c r="O278" s="3">
        <v>111</v>
      </c>
      <c r="P278" s="3" t="str">
        <f>IFERROR(MID(VLOOKUP($B278,Seqs!$A:$B,2,0),Q278,1),"")</f>
        <v>T</v>
      </c>
      <c r="Q278" s="3">
        <v>113</v>
      </c>
      <c r="R278" s="3" t="str">
        <f>IFERROR(MID(VLOOKUP($B278,Seqs!$A:$B,2,0),S278,1),"")</f>
        <v>F</v>
      </c>
      <c r="S278" s="3">
        <v>116</v>
      </c>
      <c r="T278" s="3" t="str">
        <f>IFERROR(MID(VLOOKUP($B278,Seqs!$A:$B,2,0),U278,1),"")</f>
        <v>G</v>
      </c>
      <c r="U278" s="3">
        <v>117</v>
      </c>
      <c r="V278" s="3" t="str">
        <f>IFERROR(MID(VLOOKUP($B278,Seqs!$A:$B,2,0),W278,1),"")</f>
        <v>H</v>
      </c>
      <c r="W278" s="3">
        <v>152</v>
      </c>
      <c r="X278" s="3" t="str">
        <f>IFERROR(MID(VLOOKUP($B278,Seqs!$A:$B,2,0),Y278,1),"")</f>
        <v>P</v>
      </c>
      <c r="Y278" s="3">
        <v>153</v>
      </c>
      <c r="Z278" s="3" t="str">
        <f>IFERROR(MID(VLOOKUP($B278,Seqs!$A:$B,2,0),AA278,1),"")</f>
        <v>R</v>
      </c>
      <c r="AA278" s="3">
        <v>160</v>
      </c>
      <c r="AB278" s="3" t="str">
        <f>IFERROR(MID(VLOOKUP($B278,Seqs!$A:$B,2,0),AC278,1),"")</f>
        <v>T</v>
      </c>
      <c r="AC278" s="9">
        <v>161</v>
      </c>
      <c r="AD278" s="3" t="str">
        <f>IFERROR(MID(VLOOKUP($B278,Seqs!$A:$B,2,0),AE278,1),"")</f>
        <v>A</v>
      </c>
      <c r="AE278" s="3">
        <v>187</v>
      </c>
      <c r="AF278" s="3" t="str">
        <f>IFERROR(MID(VLOOKUP($B278,Seqs!$A:$B,2,0),AG278,1),"")</f>
        <v>C</v>
      </c>
      <c r="AG278" s="3">
        <v>198</v>
      </c>
      <c r="AH278" s="3" t="str">
        <f>IFERROR(MID(VLOOKUP($B278,Seqs!$A:$B,2,0),AI278,1),"")</f>
        <v>L</v>
      </c>
      <c r="AI278" s="3">
        <v>200</v>
      </c>
      <c r="AJ278" s="3" t="str">
        <f>IFERROR(MID(VLOOKUP($B278,Seqs!$A:$B,2,0),AK278,1),"")</f>
        <v>S</v>
      </c>
      <c r="AK278" s="3">
        <v>206</v>
      </c>
      <c r="AL278" s="3" t="str">
        <f>IFERROR(MID(VLOOKUP($B278,Seqs!$A:$B,2,0),AM278,1),"")</f>
        <v>V</v>
      </c>
      <c r="AM278" s="3">
        <v>243</v>
      </c>
      <c r="AN278" s="3" t="str">
        <f>IFERROR(MID(VLOOKUP($B278,Seqs!$A:$B,2,0),AO278,1),"")</f>
        <v>S</v>
      </c>
      <c r="AO278" s="3">
        <v>249</v>
      </c>
      <c r="AP278" s="3" t="str">
        <f>IFERROR(MID(VLOOKUP($B278,Seqs!$A:$B,2,0),AQ278,1),"")</f>
        <v>V</v>
      </c>
      <c r="AQ278" s="3">
        <v>287</v>
      </c>
      <c r="AR278" s="3" t="str">
        <f>IFERROR(MID(VLOOKUP($B278,Seqs!$A:$B,2,0),AS278,1),"")</f>
        <v>D</v>
      </c>
      <c r="AS278" s="3">
        <v>293</v>
      </c>
      <c r="AT278" s="3" t="str">
        <f>IFERROR(MID(VLOOKUP($B278,Seqs!$A:$B,2,0),AU278,1),"")</f>
        <v>L</v>
      </c>
      <c r="AU278" s="3">
        <v>321</v>
      </c>
      <c r="AV278" s="3" t="str">
        <f>IFERROR(MID(VLOOKUP($B278,Seqs!$A:$B,2,0),AW278,1),"")</f>
        <v>D</v>
      </c>
      <c r="AW278" s="3">
        <v>322</v>
      </c>
      <c r="AX278" s="3" t="str">
        <f>IFERROR(MID(VLOOKUP($B278,Seqs!$A:$B,2,0),AY278,1),"")</f>
        <v>K</v>
      </c>
      <c r="AY278" s="3">
        <v>335</v>
      </c>
      <c r="AZ278" s="77" t="str">
        <f>VLOOKUP(B278,Classification!A:D,2,0)</f>
        <v>A</v>
      </c>
      <c r="BA278" s="94" t="str">
        <f>VLOOKUP(B278,Classification!A:D,4,0)</f>
        <v>Opioid</v>
      </c>
      <c r="BB278" s="27" t="b">
        <f t="shared" si="1956"/>
        <v>1</v>
      </c>
      <c r="BC278" s="23">
        <f t="shared" si="1705"/>
        <v>271</v>
      </c>
      <c r="BD278" s="56" t="s">
        <v>23</v>
      </c>
      <c r="BE278" s="3" t="s">
        <v>23</v>
      </c>
      <c r="BF278" s="118" t="s">
        <v>23</v>
      </c>
      <c r="BG278" s="49" t="s">
        <v>1366</v>
      </c>
      <c r="BH278" s="49" t="s">
        <v>1371</v>
      </c>
      <c r="BI278" s="1"/>
      <c r="BJ278" s="70" t="s">
        <v>1281</v>
      </c>
      <c r="BK278" s="57" t="s">
        <v>1281</v>
      </c>
      <c r="BL278" s="57" t="s">
        <v>1281</v>
      </c>
      <c r="BM278" s="57" t="s">
        <v>1281</v>
      </c>
      <c r="BN278" s="57" t="s">
        <v>1281</v>
      </c>
      <c r="BO278" s="57" t="s">
        <v>1281</v>
      </c>
      <c r="BP278" s="57" t="s">
        <v>1281</v>
      </c>
      <c r="BQ278" s="57" t="s">
        <v>1281</v>
      </c>
      <c r="BR278" s="57" t="s">
        <v>1281</v>
      </c>
      <c r="BS278" s="57" t="s">
        <v>1281</v>
      </c>
      <c r="BT278" s="57" t="s">
        <v>1281</v>
      </c>
      <c r="BU278" s="57" t="s">
        <v>1281</v>
      </c>
      <c r="BV278" s="70">
        <f t="shared" si="1706"/>
        <v>39</v>
      </c>
      <c r="BW278" s="71">
        <f t="shared" si="1707"/>
        <v>78</v>
      </c>
      <c r="BX278" s="72">
        <f t="shared" si="1708"/>
        <v>82</v>
      </c>
      <c r="BY278" s="71">
        <f t="shared" si="1709"/>
        <v>113</v>
      </c>
      <c r="BZ278" s="72">
        <f t="shared" si="1710"/>
        <v>117</v>
      </c>
      <c r="CA278" s="71">
        <f t="shared" si="1711"/>
        <v>153</v>
      </c>
      <c r="CB278" s="72">
        <f t="shared" si="1712"/>
        <v>161</v>
      </c>
      <c r="CC278" s="71">
        <f t="shared" si="1713"/>
        <v>198</v>
      </c>
      <c r="CD278" s="72">
        <f t="shared" si="1714"/>
        <v>206</v>
      </c>
      <c r="CE278" s="71">
        <f t="shared" si="1715"/>
        <v>249</v>
      </c>
      <c r="CF278" s="72">
        <f t="shared" si="1716"/>
        <v>293</v>
      </c>
      <c r="CG278" s="71">
        <f t="shared" si="1717"/>
        <v>322</v>
      </c>
      <c r="CH278" s="70">
        <f t="shared" si="1718"/>
        <v>77</v>
      </c>
      <c r="CI278" s="71">
        <f t="shared" si="1719"/>
        <v>81</v>
      </c>
      <c r="CJ278" s="72">
        <f t="shared" si="1720"/>
        <v>111</v>
      </c>
      <c r="CK278" s="72">
        <f t="shared" si="1721"/>
        <v>116</v>
      </c>
      <c r="CL278" s="72">
        <f t="shared" si="1722"/>
        <v>152</v>
      </c>
      <c r="CM278" s="72">
        <f t="shared" si="1723"/>
        <v>160</v>
      </c>
      <c r="CN278" s="72">
        <f t="shared" si="1724"/>
        <v>187</v>
      </c>
      <c r="CO278" s="72">
        <f t="shared" si="1725"/>
        <v>200</v>
      </c>
      <c r="CP278" s="72">
        <f t="shared" si="1726"/>
        <v>243</v>
      </c>
      <c r="CQ278" s="72">
        <f t="shared" si="1727"/>
        <v>287</v>
      </c>
      <c r="CR278" s="72">
        <f t="shared" si="1728"/>
        <v>321</v>
      </c>
      <c r="CS278" s="72">
        <f t="shared" si="1729"/>
        <v>335</v>
      </c>
      <c r="CT278" s="23">
        <f t="shared" si="1730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955"/>
        <v>oprd_human_4N6H</v>
      </c>
      <c r="B279" s="3" t="s">
        <v>334</v>
      </c>
      <c r="C279" s="3" t="s">
        <v>87</v>
      </c>
      <c r="D279" s="3" t="str">
        <f>IFERROR(MID(VLOOKUP($B279,Seqs!$A:$B,2,0),E279,1),"")</f>
        <v>G</v>
      </c>
      <c r="E279" s="3">
        <v>39</v>
      </c>
      <c r="F279" s="3" t="str">
        <f>IFERROR(MID(VLOOKUP($B279,Seqs!$A:$B,2,0),G279,1),"")</f>
        <v>Y</v>
      </c>
      <c r="G279" s="3">
        <v>77</v>
      </c>
      <c r="H279" s="3" t="str">
        <f>IFERROR(MID(VLOOKUP($B279,Seqs!$A:$B,2,0),I279,1),"")</f>
        <v>T</v>
      </c>
      <c r="I279" s="23">
        <v>78</v>
      </c>
      <c r="J279" s="3" t="str">
        <f>IFERROR(MID(VLOOKUP($B279,Seqs!$A:$B,2,0),K279,1),"")</f>
        <v>K</v>
      </c>
      <c r="K279" s="23">
        <v>81</v>
      </c>
      <c r="L279" s="3" t="str">
        <f>IFERROR(MID(VLOOKUP($B279,Seqs!$A:$B,2,0),M279,1),"")</f>
        <v>T</v>
      </c>
      <c r="M279" s="3">
        <v>82</v>
      </c>
      <c r="N279" s="3" t="str">
        <f>IFERROR(MID(VLOOKUP($B279,Seqs!$A:$B,2,0),O279,1),"")</f>
        <v>M</v>
      </c>
      <c r="O279" s="3">
        <v>111</v>
      </c>
      <c r="P279" s="3" t="str">
        <f>IFERROR(MID(VLOOKUP($B279,Seqs!$A:$B,2,0),Q279,1),"")</f>
        <v>T</v>
      </c>
      <c r="Q279" s="3">
        <v>113</v>
      </c>
      <c r="R279" s="3" t="str">
        <f>IFERROR(MID(VLOOKUP($B279,Seqs!$A:$B,2,0),S279,1),"")</f>
        <v>F</v>
      </c>
      <c r="S279" s="3">
        <v>116</v>
      </c>
      <c r="T279" s="3" t="str">
        <f>IFERROR(MID(VLOOKUP($B279,Seqs!$A:$B,2,0),U279,1),"")</f>
        <v>G</v>
      </c>
      <c r="U279" s="3">
        <v>117</v>
      </c>
      <c r="V279" s="3" t="str">
        <f>IFERROR(MID(VLOOKUP($B279,Seqs!$A:$B,2,0),W279,1),"")</f>
        <v>H</v>
      </c>
      <c r="W279" s="3">
        <v>152</v>
      </c>
      <c r="X279" s="3" t="str">
        <f>IFERROR(MID(VLOOKUP($B279,Seqs!$A:$B,2,0),Y279,1),"")</f>
        <v>P</v>
      </c>
      <c r="Y279" s="3">
        <v>153</v>
      </c>
      <c r="Z279" s="3" t="str">
        <f>IFERROR(MID(VLOOKUP($B279,Seqs!$A:$B,2,0),AA279,1),"")</f>
        <v>R</v>
      </c>
      <c r="AA279" s="3">
        <v>160</v>
      </c>
      <c r="AB279" s="3" t="str">
        <f>IFERROR(MID(VLOOKUP($B279,Seqs!$A:$B,2,0),AC279,1),"")</f>
        <v>T</v>
      </c>
      <c r="AC279" s="9">
        <v>161</v>
      </c>
      <c r="AD279" s="3" t="str">
        <f>IFERROR(MID(VLOOKUP($B279,Seqs!$A:$B,2,0),AE279,1),"")</f>
        <v>A</v>
      </c>
      <c r="AE279" s="3">
        <v>187</v>
      </c>
      <c r="AF279" s="3" t="str">
        <f>IFERROR(MID(VLOOKUP($B279,Seqs!$A:$B,2,0),AG279,1),"")</f>
        <v>C</v>
      </c>
      <c r="AG279" s="3">
        <v>198</v>
      </c>
      <c r="AH279" s="3" t="str">
        <f>IFERROR(MID(VLOOKUP($B279,Seqs!$A:$B,2,0),AI279,1),"")</f>
        <v>L</v>
      </c>
      <c r="AI279" s="3">
        <v>200</v>
      </c>
      <c r="AJ279" s="3" t="str">
        <f>IFERROR(MID(VLOOKUP($B279,Seqs!$A:$B,2,0),AK279,1),"")</f>
        <v>S</v>
      </c>
      <c r="AK279" s="3">
        <v>206</v>
      </c>
      <c r="AL279" s="3" t="str">
        <f>IFERROR(MID(VLOOKUP($B279,Seqs!$A:$B,2,0),AM279,1),"")</f>
        <v>V</v>
      </c>
      <c r="AM279" s="3">
        <v>243</v>
      </c>
      <c r="AN279" s="3" t="str">
        <f>IFERROR(MID(VLOOKUP($B279,Seqs!$A:$B,2,0),AO279,1),"")</f>
        <v>S</v>
      </c>
      <c r="AO279" s="3">
        <v>249</v>
      </c>
      <c r="AP279" s="3" t="str">
        <f>IFERROR(MID(VLOOKUP($B279,Seqs!$A:$B,2,0),AQ279,1),"")</f>
        <v>V</v>
      </c>
      <c r="AQ279" s="3">
        <v>287</v>
      </c>
      <c r="AR279" s="3" t="str">
        <f>IFERROR(MID(VLOOKUP($B279,Seqs!$A:$B,2,0),AS279,1),"")</f>
        <v>D</v>
      </c>
      <c r="AS279" s="3">
        <v>293</v>
      </c>
      <c r="AT279" s="3" t="str">
        <f>IFERROR(MID(VLOOKUP($B279,Seqs!$A:$B,2,0),AU279,1),"")</f>
        <v>L</v>
      </c>
      <c r="AU279" s="3">
        <v>321</v>
      </c>
      <c r="AV279" s="3" t="str">
        <f>IFERROR(MID(VLOOKUP($B279,Seqs!$A:$B,2,0),AW279,1),"")</f>
        <v>D</v>
      </c>
      <c r="AW279" s="3">
        <v>322</v>
      </c>
      <c r="AX279" s="3" t="str">
        <f>IFERROR(MID(VLOOKUP($B279,Seqs!$A:$B,2,0),AY279,1),"")</f>
        <v>K</v>
      </c>
      <c r="AY279" s="3">
        <v>335</v>
      </c>
      <c r="AZ279" s="77" t="str">
        <f>VLOOKUP(B279,Classification!A:D,2,0)</f>
        <v>A</v>
      </c>
      <c r="BA279" s="94" t="str">
        <f>VLOOKUP(B279,Classification!A:D,4,0)</f>
        <v>Opioid</v>
      </c>
      <c r="BB279" s="27" t="b">
        <f t="shared" si="1956"/>
        <v>1</v>
      </c>
      <c r="BC279" s="23">
        <f t="shared" si="1705"/>
        <v>271</v>
      </c>
      <c r="BD279" s="16" t="s">
        <v>1370</v>
      </c>
      <c r="BE279" s="3" t="s">
        <v>1368</v>
      </c>
      <c r="BF279" s="118">
        <v>1.8</v>
      </c>
      <c r="BG279" s="49" t="s">
        <v>1371</v>
      </c>
      <c r="BH279" s="49" t="s">
        <v>1371</v>
      </c>
      <c r="BJ279" s="70" t="s">
        <v>1281</v>
      </c>
      <c r="BK279" s="57" t="s">
        <v>1281</v>
      </c>
      <c r="BL279" s="57" t="s">
        <v>1281</v>
      </c>
      <c r="BM279" s="57" t="s">
        <v>1281</v>
      </c>
      <c r="BN279" s="57" t="s">
        <v>1281</v>
      </c>
      <c r="BO279" s="57" t="s">
        <v>1281</v>
      </c>
      <c r="BP279" s="57" t="s">
        <v>1281</v>
      </c>
      <c r="BQ279" s="57" t="s">
        <v>1281</v>
      </c>
      <c r="BR279" s="57" t="s">
        <v>1281</v>
      </c>
      <c r="BS279" s="57" t="s">
        <v>1281</v>
      </c>
      <c r="BT279" s="57" t="s">
        <v>1281</v>
      </c>
      <c r="BU279" s="57" t="s">
        <v>1281</v>
      </c>
      <c r="BV279" s="70">
        <f t="shared" si="1706"/>
        <v>39</v>
      </c>
      <c r="BW279" s="71">
        <f t="shared" si="1707"/>
        <v>78</v>
      </c>
      <c r="BX279" s="72">
        <f t="shared" si="1708"/>
        <v>82</v>
      </c>
      <c r="BY279" s="71">
        <f t="shared" si="1709"/>
        <v>113</v>
      </c>
      <c r="BZ279" s="72">
        <f t="shared" si="1710"/>
        <v>117</v>
      </c>
      <c r="CA279" s="71">
        <f t="shared" si="1711"/>
        <v>153</v>
      </c>
      <c r="CB279" s="72">
        <f t="shared" si="1712"/>
        <v>161</v>
      </c>
      <c r="CC279" s="71">
        <f t="shared" si="1713"/>
        <v>198</v>
      </c>
      <c r="CD279" s="72">
        <f t="shared" si="1714"/>
        <v>206</v>
      </c>
      <c r="CE279" s="71">
        <f t="shared" si="1715"/>
        <v>249</v>
      </c>
      <c r="CF279" s="72">
        <f t="shared" si="1716"/>
        <v>293</v>
      </c>
      <c r="CG279" s="71">
        <f t="shared" si="1717"/>
        <v>322</v>
      </c>
      <c r="CH279" s="70">
        <f t="shared" si="1718"/>
        <v>77</v>
      </c>
      <c r="CI279" s="71">
        <f t="shared" si="1719"/>
        <v>81</v>
      </c>
      <c r="CJ279" s="72">
        <f t="shared" si="1720"/>
        <v>111</v>
      </c>
      <c r="CK279" s="72">
        <f t="shared" si="1721"/>
        <v>116</v>
      </c>
      <c r="CL279" s="72">
        <f t="shared" si="1722"/>
        <v>152</v>
      </c>
      <c r="CM279" s="72">
        <f t="shared" si="1723"/>
        <v>160</v>
      </c>
      <c r="CN279" s="72">
        <f t="shared" si="1724"/>
        <v>187</v>
      </c>
      <c r="CO279" s="72">
        <f t="shared" si="1725"/>
        <v>200</v>
      </c>
      <c r="CP279" s="72">
        <f t="shared" si="1726"/>
        <v>243</v>
      </c>
      <c r="CQ279" s="72">
        <f t="shared" si="1727"/>
        <v>287</v>
      </c>
      <c r="CR279" s="72">
        <f t="shared" si="1728"/>
        <v>321</v>
      </c>
      <c r="CS279" s="72">
        <f t="shared" si="1729"/>
        <v>335</v>
      </c>
      <c r="CT279" s="23">
        <f t="shared" si="1730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s="2" customFormat="1" x14ac:dyDescent="0.2">
      <c r="A280" s="3" t="str">
        <f t="shared" si="1955"/>
        <v>oprd_human_4RWD</v>
      </c>
      <c r="B280" s="1" t="s">
        <v>334</v>
      </c>
      <c r="C280" s="1" t="s">
        <v>1332</v>
      </c>
      <c r="D280" s="3" t="str">
        <f>IFERROR(MID(VLOOKUP($B280,Seqs!$A:$B,2,0),E280,1),"")</f>
        <v>A</v>
      </c>
      <c r="E280" s="3">
        <v>43</v>
      </c>
      <c r="F280" s="3" t="str">
        <f>IFERROR(MID(VLOOKUP($B280,Seqs!$A:$B,2,0),G280,1),"")</f>
        <v>Y</v>
      </c>
      <c r="G280" s="3">
        <v>77</v>
      </c>
      <c r="H280" s="3" t="str">
        <f>IFERROR(MID(VLOOKUP($B280,Seqs!$A:$B,2,0),I280,1),"")</f>
        <v>T</v>
      </c>
      <c r="I280" s="23">
        <v>78</v>
      </c>
      <c r="J280" s="3" t="str">
        <f>IFERROR(MID(VLOOKUP($B280,Seqs!$A:$B,2,0),K280,1),"")</f>
        <v>K</v>
      </c>
      <c r="K280" s="23">
        <v>81</v>
      </c>
      <c r="L280" s="3" t="str">
        <f>IFERROR(MID(VLOOKUP($B280,Seqs!$A:$B,2,0),M280,1),"")</f>
        <v>T</v>
      </c>
      <c r="M280" s="3">
        <v>82</v>
      </c>
      <c r="N280" s="3" t="str">
        <f>IFERROR(MID(VLOOKUP($B280,Seqs!$A:$B,2,0),O280,1),"")</f>
        <v>M</v>
      </c>
      <c r="O280" s="3">
        <v>111</v>
      </c>
      <c r="P280" s="3" t="str">
        <f>IFERROR(MID(VLOOKUP($B280,Seqs!$A:$B,2,0),Q280,1),"")</f>
        <v>T</v>
      </c>
      <c r="Q280" s="3">
        <v>113</v>
      </c>
      <c r="R280" s="3" t="str">
        <f>IFERROR(MID(VLOOKUP($B280,Seqs!$A:$B,2,0),S280,1),"")</f>
        <v>F</v>
      </c>
      <c r="S280" s="3">
        <v>116</v>
      </c>
      <c r="T280" s="3" t="str">
        <f>IFERROR(MID(VLOOKUP($B280,Seqs!$A:$B,2,0),U280,1),"")</f>
        <v>G</v>
      </c>
      <c r="U280" s="3">
        <v>117</v>
      </c>
      <c r="V280" s="3" t="str">
        <f>IFERROR(MID(VLOOKUP($B280,Seqs!$A:$B,2,0),W280,1),"")</f>
        <v>H</v>
      </c>
      <c r="W280" s="3">
        <v>152</v>
      </c>
      <c r="X280" s="3" t="str">
        <f>IFERROR(MID(VLOOKUP($B280,Seqs!$A:$B,2,0),Y280,1),"")</f>
        <v>P</v>
      </c>
      <c r="Y280" s="3">
        <v>153</v>
      </c>
      <c r="Z280" s="3" t="str">
        <f>IFERROR(MID(VLOOKUP($B280,Seqs!$A:$B,2,0),AA280,1),"")</f>
        <v>R</v>
      </c>
      <c r="AA280" s="3">
        <v>160</v>
      </c>
      <c r="AB280" s="3" t="str">
        <f>IFERROR(MID(VLOOKUP($B280,Seqs!$A:$B,2,0),AC280,1),"")</f>
        <v>T</v>
      </c>
      <c r="AC280" s="9">
        <v>161</v>
      </c>
      <c r="AD280" s="3" t="str">
        <f>IFERROR(MID(VLOOKUP($B280,Seqs!$A:$B,2,0),AE280,1),"")</f>
        <v>A</v>
      </c>
      <c r="AE280" s="3">
        <v>187</v>
      </c>
      <c r="AF280" s="3" t="str">
        <f>IFERROR(MID(VLOOKUP($B280,Seqs!$A:$B,2,0),AG280,1),"")</f>
        <v>C</v>
      </c>
      <c r="AG280" s="3">
        <v>198</v>
      </c>
      <c r="AH280" s="3" t="str">
        <f>IFERROR(MID(VLOOKUP($B280,Seqs!$A:$B,2,0),AI280,1),"")</f>
        <v>L</v>
      </c>
      <c r="AI280" s="3">
        <v>200</v>
      </c>
      <c r="AJ280" s="3" t="str">
        <f>IFERROR(MID(VLOOKUP($B280,Seqs!$A:$B,2,0),AK280,1),"")</f>
        <v>S</v>
      </c>
      <c r="AK280" s="3">
        <v>206</v>
      </c>
      <c r="AL280" s="3" t="str">
        <f>IFERROR(MID(VLOOKUP($B280,Seqs!$A:$B,2,0),AM280,1),"")</f>
        <v>V</v>
      </c>
      <c r="AM280" s="3">
        <v>243</v>
      </c>
      <c r="AN280" s="3" t="str">
        <f>IFERROR(MID(VLOOKUP($B280,Seqs!$A:$B,2,0),AO280,1),"")</f>
        <v>S</v>
      </c>
      <c r="AO280" s="3">
        <v>249</v>
      </c>
      <c r="AP280" s="3" t="str">
        <f>IFERROR(MID(VLOOKUP($B280,Seqs!$A:$B,2,0),AQ280,1),"")</f>
        <v>V</v>
      </c>
      <c r="AQ280" s="3">
        <v>287</v>
      </c>
      <c r="AR280" s="3" t="str">
        <f>IFERROR(MID(VLOOKUP($B280,Seqs!$A:$B,2,0),AS280,1),"")</f>
        <v>D</v>
      </c>
      <c r="AS280" s="3">
        <v>293</v>
      </c>
      <c r="AT280" s="3" t="str">
        <f>IFERROR(MID(VLOOKUP($B280,Seqs!$A:$B,2,0),AU280,1),"")</f>
        <v>L</v>
      </c>
      <c r="AU280" s="3">
        <v>321</v>
      </c>
      <c r="AV280" s="3" t="str">
        <f>IFERROR(MID(VLOOKUP($B280,Seqs!$A:$B,2,0),AW280,1),"")</f>
        <v>D</v>
      </c>
      <c r="AW280" s="3">
        <v>322</v>
      </c>
      <c r="AX280" s="3" t="str">
        <f>IFERROR(MID(VLOOKUP($B280,Seqs!$A:$B,2,0),AY280,1),"")</f>
        <v>C</v>
      </c>
      <c r="AY280" s="3">
        <v>333</v>
      </c>
      <c r="AZ280" s="77" t="str">
        <f>VLOOKUP(B280,Classification!A:D,2,0)</f>
        <v>A</v>
      </c>
      <c r="BA280" s="94" t="str">
        <f>VLOOKUP(B280,Classification!A:D,4,0)</f>
        <v>Opioid</v>
      </c>
      <c r="BB280" s="27" t="b">
        <f t="shared" si="1956"/>
        <v>1</v>
      </c>
      <c r="BC280" s="23">
        <f t="shared" si="1705"/>
        <v>265</v>
      </c>
      <c r="BD280" s="16" t="s">
        <v>23</v>
      </c>
      <c r="BE280" s="3" t="s">
        <v>1368</v>
      </c>
      <c r="BF280" s="118">
        <v>2.7</v>
      </c>
      <c r="BG280" s="49" t="s">
        <v>1371</v>
      </c>
      <c r="BH280" s="49" t="s">
        <v>1371</v>
      </c>
      <c r="BI280" s="3"/>
      <c r="BJ280" s="70" t="s">
        <v>1281</v>
      </c>
      <c r="BK280" s="57" t="s">
        <v>1281</v>
      </c>
      <c r="BL280" s="57" t="s">
        <v>1281</v>
      </c>
      <c r="BM280" s="57" t="s">
        <v>1281</v>
      </c>
      <c r="BN280" s="57" t="s">
        <v>1281</v>
      </c>
      <c r="BO280" s="57" t="s">
        <v>1281</v>
      </c>
      <c r="BP280" s="57" t="s">
        <v>1281</v>
      </c>
      <c r="BQ280" s="57" t="s">
        <v>1281</v>
      </c>
      <c r="BR280" s="57" t="s">
        <v>1281</v>
      </c>
      <c r="BS280" s="57" t="s">
        <v>1281</v>
      </c>
      <c r="BT280" s="57" t="s">
        <v>1281</v>
      </c>
      <c r="BU280" s="57" t="s">
        <v>1281</v>
      </c>
      <c r="BV280" s="70">
        <f t="shared" si="1706"/>
        <v>43</v>
      </c>
      <c r="BW280" s="71">
        <f t="shared" si="1707"/>
        <v>78</v>
      </c>
      <c r="BX280" s="72">
        <f t="shared" si="1708"/>
        <v>82</v>
      </c>
      <c r="BY280" s="71">
        <f t="shared" si="1709"/>
        <v>113</v>
      </c>
      <c r="BZ280" s="72">
        <f t="shared" si="1710"/>
        <v>117</v>
      </c>
      <c r="CA280" s="71">
        <f t="shared" si="1711"/>
        <v>153</v>
      </c>
      <c r="CB280" s="72">
        <f t="shared" si="1712"/>
        <v>161</v>
      </c>
      <c r="CC280" s="71">
        <f t="shared" si="1713"/>
        <v>198</v>
      </c>
      <c r="CD280" s="72">
        <f t="shared" si="1714"/>
        <v>206</v>
      </c>
      <c r="CE280" s="71">
        <f t="shared" si="1715"/>
        <v>249</v>
      </c>
      <c r="CF280" s="72">
        <f t="shared" si="1716"/>
        <v>293</v>
      </c>
      <c r="CG280" s="71">
        <f t="shared" si="1717"/>
        <v>322</v>
      </c>
      <c r="CH280" s="70">
        <f t="shared" si="1718"/>
        <v>77</v>
      </c>
      <c r="CI280" s="71">
        <f t="shared" si="1719"/>
        <v>81</v>
      </c>
      <c r="CJ280" s="72">
        <f t="shared" si="1720"/>
        <v>111</v>
      </c>
      <c r="CK280" s="72">
        <f t="shared" si="1721"/>
        <v>116</v>
      </c>
      <c r="CL280" s="72">
        <f t="shared" si="1722"/>
        <v>152</v>
      </c>
      <c r="CM280" s="72">
        <f t="shared" si="1723"/>
        <v>160</v>
      </c>
      <c r="CN280" s="72">
        <f t="shared" si="1724"/>
        <v>187</v>
      </c>
      <c r="CO280" s="72">
        <f t="shared" si="1725"/>
        <v>200</v>
      </c>
      <c r="CP280" s="72">
        <f t="shared" si="1726"/>
        <v>243</v>
      </c>
      <c r="CQ280" s="72">
        <f t="shared" si="1727"/>
        <v>287</v>
      </c>
      <c r="CR280" s="72">
        <f t="shared" si="1728"/>
        <v>321</v>
      </c>
      <c r="CS280" s="72">
        <f t="shared" si="1729"/>
        <v>333</v>
      </c>
      <c r="CT280" s="23">
        <f t="shared" si="1730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</row>
    <row r="281" spans="1:1030" s="2" customFormat="1" x14ac:dyDescent="0.2">
      <c r="A281" s="3" t="str">
        <f t="shared" si="1955"/>
        <v>oprd_mouse__wt</v>
      </c>
      <c r="B281" s="3" t="s">
        <v>909</v>
      </c>
      <c r="C281" s="3" t="s">
        <v>100</v>
      </c>
      <c r="D281" s="3" t="str">
        <f>IFERROR(MID(VLOOKUP($B281,Seqs!$A:$B,2,0),E281,1),"")</f>
        <v>R</v>
      </c>
      <c r="E281" s="3">
        <v>41</v>
      </c>
      <c r="F281" s="3" t="str">
        <f>IFERROR(MID(VLOOKUP($B281,Seqs!$A:$B,2,0),G281,1),"")</f>
        <v>Y</v>
      </c>
      <c r="G281" s="3">
        <v>77</v>
      </c>
      <c r="H281" s="3" t="str">
        <f>IFERROR(MID(VLOOKUP($B281,Seqs!$A:$B,2,0),I281,1),"")</f>
        <v>T</v>
      </c>
      <c r="I281" s="23">
        <v>78</v>
      </c>
      <c r="J281" s="3" t="str">
        <f>IFERROR(MID(VLOOKUP($B281,Seqs!$A:$B,2,0),K281,1),"")</f>
        <v>K</v>
      </c>
      <c r="K281" s="23">
        <v>81</v>
      </c>
      <c r="L281" s="3" t="str">
        <f>IFERROR(MID(VLOOKUP($B281,Seqs!$A:$B,2,0),M281,1),"")</f>
        <v>T</v>
      </c>
      <c r="M281" s="3">
        <v>82</v>
      </c>
      <c r="N281" s="3" t="str">
        <f>IFERROR(MID(VLOOKUP($B281,Seqs!$A:$B,2,0),O281,1),"")</f>
        <v>M</v>
      </c>
      <c r="O281" s="3">
        <v>111</v>
      </c>
      <c r="P281" s="3" t="str">
        <f>IFERROR(MID(VLOOKUP($B281,Seqs!$A:$B,2,0),Q281,1),"")</f>
        <v>T</v>
      </c>
      <c r="Q281" s="3">
        <v>113</v>
      </c>
      <c r="R281" s="3" t="str">
        <f>IFERROR(MID(VLOOKUP($B281,Seqs!$A:$B,2,0),S281,1),"")</f>
        <v>F</v>
      </c>
      <c r="S281" s="3">
        <v>116</v>
      </c>
      <c r="T281" s="3" t="str">
        <f>IFERROR(MID(VLOOKUP($B281,Seqs!$A:$B,2,0),U281,1),"")</f>
        <v>G</v>
      </c>
      <c r="U281" s="3">
        <v>117</v>
      </c>
      <c r="V281" s="3" t="str">
        <f>IFERROR(MID(VLOOKUP($B281,Seqs!$A:$B,2,0),W281,1),"")</f>
        <v>H</v>
      </c>
      <c r="W281" s="3">
        <v>152</v>
      </c>
      <c r="X281" s="3" t="str">
        <f>IFERROR(MID(VLOOKUP($B281,Seqs!$A:$B,2,0),Y281,1),"")</f>
        <v>P</v>
      </c>
      <c r="Y281" s="3">
        <v>153</v>
      </c>
      <c r="Z281" s="3" t="str">
        <f>IFERROR(MID(VLOOKUP($B281,Seqs!$A:$B,2,0),AA281,1),"")</f>
        <v>R</v>
      </c>
      <c r="AA281" s="3">
        <v>160</v>
      </c>
      <c r="AB281" s="3" t="str">
        <f>IFERROR(MID(VLOOKUP($B281,Seqs!$A:$B,2,0),AC281,1),"")</f>
        <v>T</v>
      </c>
      <c r="AC281" s="9">
        <v>161</v>
      </c>
      <c r="AD281" s="3" t="str">
        <f>IFERROR(MID(VLOOKUP($B281,Seqs!$A:$B,2,0),AE281,1),"")</f>
        <v>A</v>
      </c>
      <c r="AE281" s="3">
        <v>187</v>
      </c>
      <c r="AF281" s="3" t="str">
        <f>IFERROR(MID(VLOOKUP($B281,Seqs!$A:$B,2,0),AG281,1),"")</f>
        <v>C</v>
      </c>
      <c r="AG281" s="3">
        <v>198</v>
      </c>
      <c r="AH281" s="3" t="str">
        <f>IFERROR(MID(VLOOKUP($B281,Seqs!$A:$B,2,0),AI281,1),"")</f>
        <v>L</v>
      </c>
      <c r="AI281" s="3">
        <v>200</v>
      </c>
      <c r="AJ281" s="3" t="str">
        <f>IFERROR(MID(VLOOKUP($B281,Seqs!$A:$B,2,0),AK281,1),"")</f>
        <v>S</v>
      </c>
      <c r="AK281" s="3">
        <v>206</v>
      </c>
      <c r="AL281" s="3" t="str">
        <f>IFERROR(MID(VLOOKUP($B281,Seqs!$A:$B,2,0),AM281,1),"")</f>
        <v>V</v>
      </c>
      <c r="AM281" s="3">
        <v>243</v>
      </c>
      <c r="AN281" s="3" t="str">
        <f>IFERROR(MID(VLOOKUP($B281,Seqs!$A:$B,2,0),AO281,1),"")</f>
        <v>S</v>
      </c>
      <c r="AO281" s="3">
        <v>249</v>
      </c>
      <c r="AP281" s="3" t="str">
        <f>IFERROR(MID(VLOOKUP($B281,Seqs!$A:$B,2,0),AQ281,1),"")</f>
        <v>V</v>
      </c>
      <c r="AQ281" s="3">
        <v>287</v>
      </c>
      <c r="AR281" s="3" t="str">
        <f>IFERROR(MID(VLOOKUP($B281,Seqs!$A:$B,2,0),AS281,1),"")</f>
        <v>D</v>
      </c>
      <c r="AS281" s="3">
        <v>293</v>
      </c>
      <c r="AT281" s="3" t="str">
        <f>IFERROR(MID(VLOOKUP($B281,Seqs!$A:$B,2,0),AU281,1),"")</f>
        <v>L</v>
      </c>
      <c r="AU281" s="3">
        <v>321</v>
      </c>
      <c r="AV281" s="3" t="str">
        <f>IFERROR(MID(VLOOKUP($B281,Seqs!$A:$B,2,0),AW281,1),"")</f>
        <v>D</v>
      </c>
      <c r="AW281" s="3">
        <v>322</v>
      </c>
      <c r="AX281" s="3" t="str">
        <f>IFERROR(MID(VLOOKUP($B281,Seqs!$A:$B,2,0),AY281,1),"")</f>
        <v>T</v>
      </c>
      <c r="AY281" s="3">
        <v>335</v>
      </c>
      <c r="AZ281" s="77" t="str">
        <f>VLOOKUP(B281,Classification!A:D,2,0)</f>
        <v>A</v>
      </c>
      <c r="BA281" s="94" t="str">
        <f>VLOOKUP(B281,Classification!A:D,4,0)</f>
        <v>Opioid</v>
      </c>
      <c r="BB281" s="27" t="b">
        <f t="shared" si="1956"/>
        <v>1</v>
      </c>
      <c r="BC281" s="23">
        <f t="shared" si="1705"/>
        <v>269</v>
      </c>
      <c r="BD281" s="56" t="s">
        <v>23</v>
      </c>
      <c r="BE281" s="3" t="s">
        <v>23</v>
      </c>
      <c r="BF281" s="118" t="s">
        <v>23</v>
      </c>
      <c r="BG281" s="49" t="s">
        <v>1366</v>
      </c>
      <c r="BH281" s="49" t="s">
        <v>1371</v>
      </c>
      <c r="BI281" s="1"/>
      <c r="BJ281" s="70" t="s">
        <v>1281</v>
      </c>
      <c r="BK281" s="57" t="s">
        <v>1281</v>
      </c>
      <c r="BL281" s="57" t="s">
        <v>1281</v>
      </c>
      <c r="BM281" s="57" t="s">
        <v>1281</v>
      </c>
      <c r="BN281" s="57" t="s">
        <v>1281</v>
      </c>
      <c r="BO281" s="57" t="s">
        <v>1281</v>
      </c>
      <c r="BP281" s="57" t="s">
        <v>1281</v>
      </c>
      <c r="BQ281" s="57" t="s">
        <v>1281</v>
      </c>
      <c r="BR281" s="57" t="s">
        <v>1281</v>
      </c>
      <c r="BS281" s="57" t="s">
        <v>1281</v>
      </c>
      <c r="BT281" s="57" t="s">
        <v>1281</v>
      </c>
      <c r="BU281" s="57" t="s">
        <v>1281</v>
      </c>
      <c r="BV281" s="70">
        <f t="shared" si="1706"/>
        <v>41</v>
      </c>
      <c r="BW281" s="71">
        <f t="shared" si="1707"/>
        <v>78</v>
      </c>
      <c r="BX281" s="72">
        <f t="shared" si="1708"/>
        <v>82</v>
      </c>
      <c r="BY281" s="71">
        <f t="shared" si="1709"/>
        <v>113</v>
      </c>
      <c r="BZ281" s="72">
        <f t="shared" si="1710"/>
        <v>117</v>
      </c>
      <c r="CA281" s="71">
        <f t="shared" si="1711"/>
        <v>153</v>
      </c>
      <c r="CB281" s="72">
        <f t="shared" si="1712"/>
        <v>161</v>
      </c>
      <c r="CC281" s="71">
        <f t="shared" si="1713"/>
        <v>198</v>
      </c>
      <c r="CD281" s="72">
        <f t="shared" si="1714"/>
        <v>206</v>
      </c>
      <c r="CE281" s="71">
        <f t="shared" si="1715"/>
        <v>249</v>
      </c>
      <c r="CF281" s="72">
        <f t="shared" si="1716"/>
        <v>293</v>
      </c>
      <c r="CG281" s="71">
        <f t="shared" si="1717"/>
        <v>322</v>
      </c>
      <c r="CH281" s="70">
        <f t="shared" si="1718"/>
        <v>77</v>
      </c>
      <c r="CI281" s="71">
        <f t="shared" si="1719"/>
        <v>81</v>
      </c>
      <c r="CJ281" s="72">
        <f t="shared" si="1720"/>
        <v>111</v>
      </c>
      <c r="CK281" s="72">
        <f t="shared" si="1721"/>
        <v>116</v>
      </c>
      <c r="CL281" s="72">
        <f t="shared" si="1722"/>
        <v>152</v>
      </c>
      <c r="CM281" s="72">
        <f t="shared" si="1723"/>
        <v>160</v>
      </c>
      <c r="CN281" s="72">
        <f t="shared" si="1724"/>
        <v>187</v>
      </c>
      <c r="CO281" s="72">
        <f t="shared" si="1725"/>
        <v>200</v>
      </c>
      <c r="CP281" s="72">
        <f t="shared" si="1726"/>
        <v>243</v>
      </c>
      <c r="CQ281" s="72">
        <f t="shared" si="1727"/>
        <v>287</v>
      </c>
      <c r="CR281" s="72">
        <f t="shared" si="1728"/>
        <v>321</v>
      </c>
      <c r="CS281" s="72">
        <f t="shared" si="1729"/>
        <v>335</v>
      </c>
      <c r="CT281" s="23">
        <f t="shared" si="1730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</row>
    <row r="282" spans="1:1030" s="2" customFormat="1" x14ac:dyDescent="0.2">
      <c r="A282" s="3" t="str">
        <f t="shared" si="1955"/>
        <v>oprd_mouse_4EJ4</v>
      </c>
      <c r="B282" s="3" t="s">
        <v>909</v>
      </c>
      <c r="C282" s="3" t="s">
        <v>64</v>
      </c>
      <c r="D282" s="3" t="str">
        <f>IFERROR(MID(VLOOKUP($B282,Seqs!$A:$B,2,0),E282,1),"")</f>
        <v>R</v>
      </c>
      <c r="E282" s="3">
        <v>41</v>
      </c>
      <c r="F282" s="3" t="str">
        <f>IFERROR(MID(VLOOKUP($B282,Seqs!$A:$B,2,0),G282,1),"")</f>
        <v>Y</v>
      </c>
      <c r="G282" s="3">
        <v>77</v>
      </c>
      <c r="H282" s="3" t="str">
        <f>IFERROR(MID(VLOOKUP($B282,Seqs!$A:$B,2,0),I282,1),"")</f>
        <v>T</v>
      </c>
      <c r="I282" s="23">
        <v>78</v>
      </c>
      <c r="J282" s="3" t="str">
        <f>IFERROR(MID(VLOOKUP($B282,Seqs!$A:$B,2,0),K282,1),"")</f>
        <v>K</v>
      </c>
      <c r="K282" s="23">
        <v>81</v>
      </c>
      <c r="L282" s="3" t="str">
        <f>IFERROR(MID(VLOOKUP($B282,Seqs!$A:$B,2,0),M282,1),"")</f>
        <v>T</v>
      </c>
      <c r="M282" s="3">
        <v>82</v>
      </c>
      <c r="N282" s="3" t="str">
        <f>IFERROR(MID(VLOOKUP($B282,Seqs!$A:$B,2,0),O282,1),"")</f>
        <v>M</v>
      </c>
      <c r="O282" s="3">
        <v>111</v>
      </c>
      <c r="P282" s="3" t="str">
        <f>IFERROR(MID(VLOOKUP($B282,Seqs!$A:$B,2,0),Q282,1),"")</f>
        <v>T</v>
      </c>
      <c r="Q282" s="3">
        <v>113</v>
      </c>
      <c r="R282" s="3" t="str">
        <f>IFERROR(MID(VLOOKUP($B282,Seqs!$A:$B,2,0),S282,1),"")</f>
        <v>F</v>
      </c>
      <c r="S282" s="3">
        <v>116</v>
      </c>
      <c r="T282" s="3" t="str">
        <f>IFERROR(MID(VLOOKUP($B282,Seqs!$A:$B,2,0),U282,1),"")</f>
        <v>G</v>
      </c>
      <c r="U282" s="3">
        <v>117</v>
      </c>
      <c r="V282" s="3" t="str">
        <f>IFERROR(MID(VLOOKUP($B282,Seqs!$A:$B,2,0),W282,1),"")</f>
        <v>H</v>
      </c>
      <c r="W282" s="3">
        <v>152</v>
      </c>
      <c r="X282" s="3" t="str">
        <f>IFERROR(MID(VLOOKUP($B282,Seqs!$A:$B,2,0),Y282,1),"")</f>
        <v>P</v>
      </c>
      <c r="Y282" s="3">
        <v>153</v>
      </c>
      <c r="Z282" s="3" t="str">
        <f>IFERROR(MID(VLOOKUP($B282,Seqs!$A:$B,2,0),AA282,1),"")</f>
        <v>R</v>
      </c>
      <c r="AA282" s="3">
        <v>160</v>
      </c>
      <c r="AB282" s="3" t="str">
        <f>IFERROR(MID(VLOOKUP($B282,Seqs!$A:$B,2,0),AC282,1),"")</f>
        <v>T</v>
      </c>
      <c r="AC282" s="9">
        <v>161</v>
      </c>
      <c r="AD282" s="3" t="str">
        <f>IFERROR(MID(VLOOKUP($B282,Seqs!$A:$B,2,0),AE282,1),"")</f>
        <v>A</v>
      </c>
      <c r="AE282" s="3">
        <v>187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L</v>
      </c>
      <c r="AI282" s="3">
        <v>200</v>
      </c>
      <c r="AJ282" s="3" t="str">
        <f>IFERROR(MID(VLOOKUP($B282,Seqs!$A:$B,2,0),AK282,1),"")</f>
        <v>S</v>
      </c>
      <c r="AK282" s="3">
        <v>206</v>
      </c>
      <c r="AL282" s="3" t="str">
        <f>IFERROR(MID(VLOOKUP($B282,Seqs!$A:$B,2,0),AM282,1),"")</f>
        <v>L</v>
      </c>
      <c r="AM282" s="3">
        <v>238</v>
      </c>
      <c r="AN282" s="3" t="str">
        <f>IFERROR(MID(VLOOKUP($B282,Seqs!$A:$B,2,0),AO282,1),"")</f>
        <v>R</v>
      </c>
      <c r="AO282" s="3">
        <v>258</v>
      </c>
      <c r="AP282" s="3" t="str">
        <f>IFERROR(MID(VLOOKUP($B282,Seqs!$A:$B,2,0),AQ282,1),"")</f>
        <v>V</v>
      </c>
      <c r="AQ282" s="3">
        <v>287</v>
      </c>
      <c r="AR282" s="3" t="str">
        <f>IFERROR(MID(VLOOKUP($B282,Seqs!$A:$B,2,0),AS282,1),"")</f>
        <v>D</v>
      </c>
      <c r="AS282" s="3">
        <v>293</v>
      </c>
      <c r="AT282" s="3" t="str">
        <f>IFERROR(MID(VLOOKUP($B282,Seqs!$A:$B,2,0),AU282,1),"")</f>
        <v>L</v>
      </c>
      <c r="AU282" s="3">
        <v>321</v>
      </c>
      <c r="AV282" s="3" t="str">
        <f>IFERROR(MID(VLOOKUP($B282,Seqs!$A:$B,2,0),AW282,1),"")</f>
        <v>D</v>
      </c>
      <c r="AW282" s="3">
        <v>322</v>
      </c>
      <c r="AX282" s="3" t="str">
        <f>IFERROR(MID(VLOOKUP($B282,Seqs!$A:$B,2,0),AY282,1),"")</f>
        <v>C</v>
      </c>
      <c r="AY282" s="3">
        <v>328</v>
      </c>
      <c r="AZ282" s="77" t="str">
        <f>VLOOKUP(B282,Classification!A:D,2,0)</f>
        <v>A</v>
      </c>
      <c r="BA282" s="94" t="str">
        <f>VLOOKUP(B282,Classification!A:D,4,0)</f>
        <v>Opioid</v>
      </c>
      <c r="BB282" s="27" t="b">
        <f t="shared" si="1956"/>
        <v>1</v>
      </c>
      <c r="BC282" s="23">
        <f t="shared" si="1705"/>
        <v>248</v>
      </c>
      <c r="BD282" s="2" t="s">
        <v>23</v>
      </c>
      <c r="BE282" s="3" t="s">
        <v>1368</v>
      </c>
      <c r="BF282" s="118">
        <v>3.4</v>
      </c>
      <c r="BG282" s="49" t="s">
        <v>1371</v>
      </c>
      <c r="BH282" s="49" t="s">
        <v>1371</v>
      </c>
      <c r="BI282" s="1"/>
      <c r="BJ282" s="70" t="s">
        <v>1281</v>
      </c>
      <c r="BK282" s="57" t="s">
        <v>1281</v>
      </c>
      <c r="BL282" s="57" t="s">
        <v>1281</v>
      </c>
      <c r="BM282" s="57" t="s">
        <v>1281</v>
      </c>
      <c r="BN282" s="57" t="s">
        <v>1281</v>
      </c>
      <c r="BO282" s="57" t="s">
        <v>1281</v>
      </c>
      <c r="BP282" s="57" t="s">
        <v>1281</v>
      </c>
      <c r="BQ282" s="57" t="s">
        <v>1281</v>
      </c>
      <c r="BR282" s="57" t="s">
        <v>1281</v>
      </c>
      <c r="BS282" s="57" t="s">
        <v>1281</v>
      </c>
      <c r="BT282" s="57" t="s">
        <v>1281</v>
      </c>
      <c r="BU282" s="57" t="s">
        <v>1281</v>
      </c>
      <c r="BV282" s="70">
        <f t="shared" si="1706"/>
        <v>41</v>
      </c>
      <c r="BW282" s="71">
        <f t="shared" si="1707"/>
        <v>78</v>
      </c>
      <c r="BX282" s="72">
        <f t="shared" si="1708"/>
        <v>82</v>
      </c>
      <c r="BY282" s="71">
        <f t="shared" si="1709"/>
        <v>113</v>
      </c>
      <c r="BZ282" s="72">
        <f t="shared" si="1710"/>
        <v>117</v>
      </c>
      <c r="CA282" s="71">
        <f t="shared" si="1711"/>
        <v>153</v>
      </c>
      <c r="CB282" s="72">
        <f t="shared" si="1712"/>
        <v>161</v>
      </c>
      <c r="CC282" s="71">
        <f t="shared" si="1713"/>
        <v>198</v>
      </c>
      <c r="CD282" s="72">
        <f t="shared" si="1714"/>
        <v>206</v>
      </c>
      <c r="CE282" s="71">
        <f t="shared" si="1715"/>
        <v>258</v>
      </c>
      <c r="CF282" s="72">
        <f t="shared" si="1716"/>
        <v>293</v>
      </c>
      <c r="CG282" s="71">
        <f t="shared" si="1717"/>
        <v>322</v>
      </c>
      <c r="CH282" s="70">
        <f t="shared" si="1718"/>
        <v>77</v>
      </c>
      <c r="CI282" s="71">
        <f t="shared" si="1719"/>
        <v>81</v>
      </c>
      <c r="CJ282" s="72">
        <f t="shared" si="1720"/>
        <v>111</v>
      </c>
      <c r="CK282" s="72">
        <f t="shared" si="1721"/>
        <v>116</v>
      </c>
      <c r="CL282" s="72">
        <f t="shared" si="1722"/>
        <v>152</v>
      </c>
      <c r="CM282" s="72">
        <f t="shared" si="1723"/>
        <v>160</v>
      </c>
      <c r="CN282" s="72">
        <f t="shared" si="1724"/>
        <v>187</v>
      </c>
      <c r="CO282" s="72">
        <f t="shared" si="1725"/>
        <v>200</v>
      </c>
      <c r="CP282" s="72">
        <f t="shared" si="1726"/>
        <v>238</v>
      </c>
      <c r="CQ282" s="72">
        <f t="shared" si="1727"/>
        <v>287</v>
      </c>
      <c r="CR282" s="72">
        <f t="shared" si="1728"/>
        <v>321</v>
      </c>
      <c r="CS282" s="72">
        <f t="shared" si="1729"/>
        <v>328</v>
      </c>
      <c r="CT282" s="23">
        <f t="shared" si="1730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</row>
    <row r="283" spans="1:1030" x14ac:dyDescent="0.2">
      <c r="A283" s="3" t="str">
        <f t="shared" si="1955"/>
        <v>oprk_human__wt</v>
      </c>
      <c r="B283" s="3" t="s">
        <v>335</v>
      </c>
      <c r="C283" s="3" t="s">
        <v>100</v>
      </c>
      <c r="D283" s="3" t="str">
        <f>IFERROR(MID(VLOOKUP($B283,Seqs!$A:$B,2,0),E283,1),"")</f>
        <v>A</v>
      </c>
      <c r="E283" s="3">
        <v>57</v>
      </c>
      <c r="F283" s="3" t="str">
        <f>IFERROR(MID(VLOOKUP($B283,Seqs!$A:$B,2,0),G283,1),"")</f>
        <v>Y</v>
      </c>
      <c r="G283" s="3">
        <v>87</v>
      </c>
      <c r="H283" s="3" t="str">
        <f>IFERROR(MID(VLOOKUP($B283,Seqs!$A:$B,2,0),I283,1),"")</f>
        <v>T</v>
      </c>
      <c r="I283" s="23">
        <v>88</v>
      </c>
      <c r="J283" s="3" t="str">
        <f>IFERROR(MID(VLOOKUP($B283,Seqs!$A:$B,2,0),K283,1),"")</f>
        <v>K</v>
      </c>
      <c r="K283" s="23">
        <v>91</v>
      </c>
      <c r="L283" s="3" t="str">
        <f>IFERROR(MID(VLOOKUP($B283,Seqs!$A:$B,2,0),M283,1),"")</f>
        <v>T</v>
      </c>
      <c r="M283" s="3">
        <v>92</v>
      </c>
      <c r="N283" s="3" t="str">
        <f>IFERROR(MID(VLOOKUP($B283,Seqs!$A:$B,2,0),O283,1),"")</f>
        <v>N</v>
      </c>
      <c r="O283" s="105">
        <v>122</v>
      </c>
      <c r="P283" s="3" t="str">
        <f>IFERROR(MID(VLOOKUP($B283,Seqs!$A:$B,2,0),Q283,1),"")</f>
        <v>S</v>
      </c>
      <c r="Q283" s="3">
        <v>123</v>
      </c>
      <c r="R283" s="3" t="str">
        <f>IFERROR(MID(VLOOKUP($B283,Seqs!$A:$B,2,0),S283,1),"")</f>
        <v>F</v>
      </c>
      <c r="S283" s="3">
        <v>126</v>
      </c>
      <c r="T283" s="3" t="str">
        <f>IFERROR(MID(VLOOKUP($B283,Seqs!$A:$B,2,0),U283,1),"")</f>
        <v>G</v>
      </c>
      <c r="U283" s="3">
        <v>127</v>
      </c>
      <c r="V283" s="3" t="str">
        <f>IFERROR(MID(VLOOKUP($B283,Seqs!$A:$B,2,0),W283,1),"")</f>
        <v>H</v>
      </c>
      <c r="W283" s="3">
        <v>162</v>
      </c>
      <c r="X283" s="3" t="str">
        <f>IFERROR(MID(VLOOKUP($B283,Seqs!$A:$B,2,0),Y283,1),"")</f>
        <v>P</v>
      </c>
      <c r="Y283" s="3">
        <v>163</v>
      </c>
      <c r="Z283" s="3" t="str">
        <f>IFERROR(MID(VLOOKUP($B283,Seqs!$A:$B,2,0),AA283,1),"")</f>
        <v>R</v>
      </c>
      <c r="AA283" s="3">
        <v>170</v>
      </c>
      <c r="AB283" s="3" t="str">
        <f>IFERROR(MID(VLOOKUP($B283,Seqs!$A:$B,2,0),AC283,1),"")</f>
        <v>T</v>
      </c>
      <c r="AC283" s="9">
        <v>171</v>
      </c>
      <c r="AD283" s="3" t="str">
        <f>IFERROR(MID(VLOOKUP($B283,Seqs!$A:$B,2,0),AE283,1),"")</f>
        <v>G</v>
      </c>
      <c r="AE283" s="3">
        <v>197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L</v>
      </c>
      <c r="AI283" s="3">
        <v>212</v>
      </c>
      <c r="AJ283" s="3" t="str">
        <f>IFERROR(MID(VLOOKUP($B283,Seqs!$A:$B,2,0),AK283,1),"")</f>
        <v>D</v>
      </c>
      <c r="AK283" s="105">
        <v>218</v>
      </c>
      <c r="AL283" s="3" t="str">
        <f>IFERROR(MID(VLOOKUP($B283,Seqs!$A:$B,2,0),AM283,1),"")</f>
        <v>V</v>
      </c>
      <c r="AM283" s="3">
        <v>256</v>
      </c>
      <c r="AN283" s="3" t="str">
        <f>IFERROR(MID(VLOOKUP($B283,Seqs!$A:$B,2,0),AO283,1),"")</f>
        <v>S</v>
      </c>
      <c r="AO283" s="3">
        <v>262</v>
      </c>
      <c r="AP283" s="3" t="str">
        <f>IFERROR(MID(VLOOKUP($B283,Seqs!$A:$B,2,0),AQ283,1),"")</f>
        <v>G</v>
      </c>
      <c r="AQ283" s="3">
        <v>300</v>
      </c>
      <c r="AR283" s="3" t="str">
        <f>IFERROR(MID(VLOOKUP($B283,Seqs!$A:$B,2,0),AS283,1),"")</f>
        <v>S</v>
      </c>
      <c r="AS283" s="3">
        <v>305</v>
      </c>
      <c r="AT283" s="3" t="str">
        <f>IFERROR(MID(VLOOKUP($B283,Seqs!$A:$B,2,0),AU283,1),"")</f>
        <v>L</v>
      </c>
      <c r="AU283" s="3">
        <v>333</v>
      </c>
      <c r="AV283" s="3" t="str">
        <f>IFERROR(MID(VLOOKUP($B283,Seqs!$A:$B,2,0),AW283,1),"")</f>
        <v>D</v>
      </c>
      <c r="AW283" s="3">
        <v>334</v>
      </c>
      <c r="AX283" s="3" t="str">
        <f>IFERROR(MID(VLOOKUP($B283,Seqs!$A:$B,2,0),AY283,1),"")</f>
        <v>F</v>
      </c>
      <c r="AY283" s="3">
        <v>346</v>
      </c>
      <c r="AZ283" s="77" t="str">
        <f>VLOOKUP(B283,Classification!A:D,2,0)</f>
        <v>A</v>
      </c>
      <c r="BA283" s="94" t="str">
        <f>VLOOKUP(B283,Classification!A:D,4,0)</f>
        <v>Opioid</v>
      </c>
      <c r="BB283" s="27" t="b">
        <f t="shared" si="1956"/>
        <v>1</v>
      </c>
      <c r="BC283" s="23">
        <f t="shared" si="1705"/>
        <v>264</v>
      </c>
      <c r="BD283" s="56" t="s">
        <v>23</v>
      </c>
      <c r="BE283" s="3" t="s">
        <v>23</v>
      </c>
      <c r="BF283" s="118" t="s">
        <v>23</v>
      </c>
      <c r="BG283" s="49" t="s">
        <v>1366</v>
      </c>
      <c r="BH283" s="49" t="s">
        <v>1371</v>
      </c>
      <c r="BI283" s="1"/>
      <c r="BJ283" s="70" t="s">
        <v>1281</v>
      </c>
      <c r="BK283" s="57" t="s">
        <v>1281</v>
      </c>
      <c r="BL283" s="57" t="s">
        <v>1281</v>
      </c>
      <c r="BM283" s="57" t="s">
        <v>1281</v>
      </c>
      <c r="BN283" s="57" t="s">
        <v>1281</v>
      </c>
      <c r="BO283" s="57" t="s">
        <v>1281</v>
      </c>
      <c r="BP283" s="57" t="s">
        <v>1281</v>
      </c>
      <c r="BQ283" s="57" t="s">
        <v>1281</v>
      </c>
      <c r="BR283" s="57" t="s">
        <v>1281</v>
      </c>
      <c r="BS283" s="57" t="s">
        <v>1281</v>
      </c>
      <c r="BT283" s="57" t="s">
        <v>1281</v>
      </c>
      <c r="BU283" s="57" t="s">
        <v>1281</v>
      </c>
      <c r="BV283" s="70">
        <f t="shared" si="1706"/>
        <v>57</v>
      </c>
      <c r="BW283" s="71">
        <f t="shared" si="1707"/>
        <v>88</v>
      </c>
      <c r="BX283" s="72">
        <f t="shared" si="1708"/>
        <v>92</v>
      </c>
      <c r="BY283" s="71">
        <f t="shared" si="1709"/>
        <v>123</v>
      </c>
      <c r="BZ283" s="72">
        <f t="shared" si="1710"/>
        <v>127</v>
      </c>
      <c r="CA283" s="71">
        <f t="shared" si="1711"/>
        <v>163</v>
      </c>
      <c r="CB283" s="72">
        <f t="shared" si="1712"/>
        <v>171</v>
      </c>
      <c r="CC283" s="71">
        <f t="shared" si="1713"/>
        <v>210</v>
      </c>
      <c r="CD283" s="72">
        <f t="shared" si="1714"/>
        <v>218</v>
      </c>
      <c r="CE283" s="71">
        <f t="shared" si="1715"/>
        <v>262</v>
      </c>
      <c r="CF283" s="72">
        <f t="shared" si="1716"/>
        <v>305</v>
      </c>
      <c r="CG283" s="71">
        <f t="shared" si="1717"/>
        <v>334</v>
      </c>
      <c r="CH283" s="70">
        <f t="shared" si="1718"/>
        <v>87</v>
      </c>
      <c r="CI283" s="71">
        <f t="shared" si="1719"/>
        <v>91</v>
      </c>
      <c r="CJ283" s="72">
        <f t="shared" si="1720"/>
        <v>122</v>
      </c>
      <c r="CK283" s="72">
        <f t="shared" si="1721"/>
        <v>126</v>
      </c>
      <c r="CL283" s="72">
        <f t="shared" si="1722"/>
        <v>162</v>
      </c>
      <c r="CM283" s="72">
        <f t="shared" si="1723"/>
        <v>170</v>
      </c>
      <c r="CN283" s="72">
        <f t="shared" si="1724"/>
        <v>197</v>
      </c>
      <c r="CO283" s="72">
        <f t="shared" si="1725"/>
        <v>212</v>
      </c>
      <c r="CP283" s="72">
        <f t="shared" si="1726"/>
        <v>256</v>
      </c>
      <c r="CQ283" s="72">
        <f t="shared" si="1727"/>
        <v>300</v>
      </c>
      <c r="CR283" s="72">
        <f t="shared" si="1728"/>
        <v>333</v>
      </c>
      <c r="CS283" s="72">
        <f t="shared" si="1729"/>
        <v>346</v>
      </c>
      <c r="CT283" s="23">
        <f t="shared" si="1730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955"/>
        <v>oprk_human_4DJH</v>
      </c>
      <c r="B284" s="3" t="s">
        <v>335</v>
      </c>
      <c r="C284" s="3" t="s">
        <v>88</v>
      </c>
      <c r="D284" s="3" t="str">
        <f>IFERROR(MID(VLOOKUP($B284,Seqs!$A:$B,2,0),E284,1),"")</f>
        <v>A</v>
      </c>
      <c r="E284" s="3">
        <v>57</v>
      </c>
      <c r="F284" s="3" t="str">
        <f>IFERROR(MID(VLOOKUP($B284,Seqs!$A:$B,2,0),G284,1),"")</f>
        <v>Y</v>
      </c>
      <c r="G284" s="3">
        <v>87</v>
      </c>
      <c r="H284" s="3" t="str">
        <f>IFERROR(MID(VLOOKUP($B284,Seqs!$A:$B,2,0),I284,1),"")</f>
        <v>T</v>
      </c>
      <c r="I284" s="23">
        <v>88</v>
      </c>
      <c r="J284" s="3" t="str">
        <f>IFERROR(MID(VLOOKUP($B284,Seqs!$A:$B,2,0),K284,1),"")</f>
        <v>K</v>
      </c>
      <c r="K284" s="23">
        <v>91</v>
      </c>
      <c r="L284" s="3" t="str">
        <f>IFERROR(MID(VLOOKUP($B284,Seqs!$A:$B,2,0),M284,1),"")</f>
        <v>T</v>
      </c>
      <c r="M284" s="3">
        <v>92</v>
      </c>
      <c r="N284" s="3" t="str">
        <f>IFERROR(MID(VLOOKUP($B284,Seqs!$A:$B,2,0),O284,1),"")</f>
        <v>N</v>
      </c>
      <c r="O284" s="3">
        <v>122</v>
      </c>
      <c r="P284" s="3" t="str">
        <f>IFERROR(MID(VLOOKUP($B284,Seqs!$A:$B,2,0),Q284,1),"")</f>
        <v>S</v>
      </c>
      <c r="Q284" s="3">
        <v>123</v>
      </c>
      <c r="R284" s="3" t="str">
        <f>IFERROR(MID(VLOOKUP($B284,Seqs!$A:$B,2,0),S284,1),"")</f>
        <v>F</v>
      </c>
      <c r="S284" s="3">
        <v>126</v>
      </c>
      <c r="T284" s="3" t="str">
        <f>IFERROR(MID(VLOOKUP($B284,Seqs!$A:$B,2,0),U284,1),"")</f>
        <v>G</v>
      </c>
      <c r="U284" s="3">
        <v>127</v>
      </c>
      <c r="V284" s="3" t="str">
        <f>IFERROR(MID(VLOOKUP($B284,Seqs!$A:$B,2,0),W284,1),"")</f>
        <v>H</v>
      </c>
      <c r="W284" s="3">
        <v>162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R</v>
      </c>
      <c r="AC284" s="9">
        <v>170</v>
      </c>
      <c r="AD284" s="3" t="str">
        <f>IFERROR(MID(VLOOKUP($B284,Seqs!$A:$B,2,0),AE284,1),"")</f>
        <v>G</v>
      </c>
      <c r="AE284" s="3">
        <v>197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L</v>
      </c>
      <c r="AI284" s="3">
        <v>212</v>
      </c>
      <c r="AJ284" s="3" t="str">
        <f>IFERROR(MID(VLOOKUP($B284,Seqs!$A:$B,2,0),AK284,1),"")</f>
        <v>D</v>
      </c>
      <c r="AK284" s="3">
        <v>218</v>
      </c>
      <c r="AL284" s="3" t="str">
        <f>IFERROR(MID(VLOOKUP($B284,Seqs!$A:$B,2,0),AM284,1),"")</f>
        <v>V</v>
      </c>
      <c r="AM284" s="3">
        <v>256</v>
      </c>
      <c r="AN284" s="3" t="str">
        <f>IFERROR(MID(VLOOKUP($B284,Seqs!$A:$B,2,0),AO284,1),"")</f>
        <v>R</v>
      </c>
      <c r="AO284" s="3">
        <v>267</v>
      </c>
      <c r="AP284" s="3" t="str">
        <f>IFERROR(MID(VLOOKUP($B284,Seqs!$A:$B,2,0),AQ284,1),"")</f>
        <v>G</v>
      </c>
      <c r="AQ284" s="3">
        <v>300</v>
      </c>
      <c r="AR284" s="3" t="str">
        <f>IFERROR(MID(VLOOKUP($B284,Seqs!$A:$B,2,0),AS284,1),"")</f>
        <v>A</v>
      </c>
      <c r="AS284" s="3">
        <v>308</v>
      </c>
      <c r="AT284" s="3" t="str">
        <f>IFERROR(MID(VLOOKUP($B284,Seqs!$A:$B,2,0),AU284,1),"")</f>
        <v>L</v>
      </c>
      <c r="AU284" s="3">
        <v>333</v>
      </c>
      <c r="AV284" s="3" t="str">
        <f>IFERROR(MID(VLOOKUP($B284,Seqs!$A:$B,2,0),AW284,1),"")</f>
        <v>D</v>
      </c>
      <c r="AW284" s="3">
        <v>334</v>
      </c>
      <c r="AX284" s="3" t="str">
        <f>IFERROR(MID(VLOOKUP($B284,Seqs!$A:$B,2,0),AY284,1),"")</f>
        <v>F</v>
      </c>
      <c r="AY284" s="3">
        <v>346</v>
      </c>
      <c r="AZ284" s="77" t="str">
        <f>VLOOKUP(B284,Classification!A:D,2,0)</f>
        <v>A</v>
      </c>
      <c r="BA284" s="94" t="str">
        <f>VLOOKUP(B284,Classification!A:D,4,0)</f>
        <v>Opioid</v>
      </c>
      <c r="BB284" s="27" t="b">
        <f t="shared" si="1956"/>
        <v>1</v>
      </c>
      <c r="BC284" s="23">
        <f t="shared" si="1705"/>
        <v>250</v>
      </c>
      <c r="BD284" s="2" t="s">
        <v>23</v>
      </c>
      <c r="BE284" s="3" t="s">
        <v>1368</v>
      </c>
      <c r="BF284" s="118">
        <v>2.9</v>
      </c>
      <c r="BG284" s="49" t="s">
        <v>1371</v>
      </c>
      <c r="BH284" s="49" t="s">
        <v>1371</v>
      </c>
      <c r="BI284" s="1"/>
      <c r="BJ284" s="70" t="s">
        <v>1281</v>
      </c>
      <c r="BK284" s="57" t="s">
        <v>1281</v>
      </c>
      <c r="BL284" s="57" t="s">
        <v>1281</v>
      </c>
      <c r="BM284" s="57" t="s">
        <v>1281</v>
      </c>
      <c r="BN284" s="57" t="s">
        <v>1281</v>
      </c>
      <c r="BO284" s="57" t="s">
        <v>1281</v>
      </c>
      <c r="BP284" s="57" t="s">
        <v>1281</v>
      </c>
      <c r="BQ284" s="57" t="s">
        <v>1281</v>
      </c>
      <c r="BR284" s="57" t="s">
        <v>1281</v>
      </c>
      <c r="BS284" s="57" t="s">
        <v>1281</v>
      </c>
      <c r="BT284" s="57" t="s">
        <v>1281</v>
      </c>
      <c r="BU284" s="57" t="s">
        <v>1281</v>
      </c>
      <c r="BV284" s="70">
        <f t="shared" si="1706"/>
        <v>57</v>
      </c>
      <c r="BW284" s="71">
        <f t="shared" si="1707"/>
        <v>88</v>
      </c>
      <c r="BX284" s="72">
        <f t="shared" si="1708"/>
        <v>92</v>
      </c>
      <c r="BY284" s="71">
        <f t="shared" si="1709"/>
        <v>123</v>
      </c>
      <c r="BZ284" s="72">
        <f t="shared" si="1710"/>
        <v>127</v>
      </c>
      <c r="CA284" s="71" t="str">
        <f t="shared" si="1711"/>
        <v>-</v>
      </c>
      <c r="CB284" s="72">
        <f t="shared" si="1712"/>
        <v>170</v>
      </c>
      <c r="CC284" s="71">
        <f t="shared" si="1713"/>
        <v>210</v>
      </c>
      <c r="CD284" s="72">
        <f t="shared" si="1714"/>
        <v>218</v>
      </c>
      <c r="CE284" s="71">
        <f t="shared" si="1715"/>
        <v>267</v>
      </c>
      <c r="CF284" s="72">
        <f t="shared" si="1716"/>
        <v>308</v>
      </c>
      <c r="CG284" s="71">
        <f t="shared" si="1717"/>
        <v>334</v>
      </c>
      <c r="CH284" s="70">
        <f t="shared" si="1718"/>
        <v>87</v>
      </c>
      <c r="CI284" s="71">
        <f t="shared" si="1719"/>
        <v>91</v>
      </c>
      <c r="CJ284" s="72">
        <f t="shared" si="1720"/>
        <v>122</v>
      </c>
      <c r="CK284" s="72">
        <f t="shared" si="1721"/>
        <v>126</v>
      </c>
      <c r="CL284" s="72">
        <f t="shared" si="1722"/>
        <v>162</v>
      </c>
      <c r="CM284" s="72" t="str">
        <f t="shared" si="1723"/>
        <v>-</v>
      </c>
      <c r="CN284" s="72">
        <f t="shared" si="1724"/>
        <v>197</v>
      </c>
      <c r="CO284" s="72">
        <f t="shared" si="1725"/>
        <v>212</v>
      </c>
      <c r="CP284" s="72">
        <f t="shared" si="1726"/>
        <v>256</v>
      </c>
      <c r="CQ284" s="72">
        <f t="shared" si="1727"/>
        <v>300</v>
      </c>
      <c r="CR284" s="72">
        <f t="shared" si="1728"/>
        <v>333</v>
      </c>
      <c r="CS284" s="72">
        <f t="shared" si="1729"/>
        <v>346</v>
      </c>
      <c r="CT284" s="23">
        <f t="shared" si="1730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>CONCATENATE(B285,"_",C285)</f>
        <v>oprk_human_6B73</v>
      </c>
      <c r="B285" s="3" t="s">
        <v>335</v>
      </c>
      <c r="C285" s="3" t="s">
        <v>1457</v>
      </c>
      <c r="D285" s="3" t="str">
        <f>IFERROR(MID(VLOOKUP($B285,Seqs!$A:$B,2,0),E285,1),"")</f>
        <v>A</v>
      </c>
      <c r="E285" s="3">
        <v>57</v>
      </c>
      <c r="F285" s="3" t="str">
        <f>IFERROR(MID(VLOOKUP($B285,Seqs!$A:$B,2,0),G285,1),"")</f>
        <v>Y</v>
      </c>
      <c r="G285" s="3">
        <v>87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92</v>
      </c>
      <c r="N285" s="3" t="str">
        <f>IFERROR(MID(VLOOKUP($B285,Seqs!$A:$B,2,0),O285,1),"")</f>
        <v>N</v>
      </c>
      <c r="O285" s="3">
        <v>122</v>
      </c>
      <c r="P285" s="3" t="str">
        <f>IFERROR(MID(VLOOKUP($B285,Seqs!$A:$B,2,0),Q285,1),"")</f>
        <v>S</v>
      </c>
      <c r="Q285" s="3">
        <v>123</v>
      </c>
      <c r="R285" s="3" t="str">
        <f>IFERROR(MID(VLOOKUP($B285,Seqs!$A:$B,2,0),S285,1),"")</f>
        <v>F</v>
      </c>
      <c r="S285" s="3">
        <v>126</v>
      </c>
      <c r="T285" s="3" t="str">
        <f>IFERROR(MID(VLOOKUP($B285,Seqs!$A:$B,2,0),U285,1),"")</f>
        <v>G</v>
      </c>
      <c r="U285" s="3">
        <v>127</v>
      </c>
      <c r="V285" s="3" t="str">
        <f>IFERROR(MID(VLOOKUP($B285,Seqs!$A:$B,2,0),W285,1),"")</f>
        <v>H</v>
      </c>
      <c r="W285" s="3">
        <v>162</v>
      </c>
      <c r="X285" s="3" t="str">
        <f>IFERROR(MID(VLOOKUP($B285,Seqs!$A:$B,2,0),Y285,1),"")</f>
        <v>P</v>
      </c>
      <c r="Y285" s="3">
        <v>163</v>
      </c>
      <c r="Z285" s="3" t="str">
        <f>IFERROR(MID(VLOOKUP($B285,Seqs!$A:$B,2,0),AA285,1),"")</f>
        <v>R</v>
      </c>
      <c r="AA285" s="3">
        <v>170</v>
      </c>
      <c r="AB285" s="3" t="str">
        <f>IFERROR(MID(VLOOKUP($B285,Seqs!$A:$B,2,0),AC285,1),"")</f>
        <v>T</v>
      </c>
      <c r="AC285" s="3">
        <v>171</v>
      </c>
      <c r="AD285" s="3" t="str">
        <f>IFERROR(MID(VLOOKUP($B285,Seqs!$A:$B,2,0),AE285,1),"")</f>
        <v>G</v>
      </c>
      <c r="AE285" s="3">
        <v>197</v>
      </c>
      <c r="AF285" s="3" t="str">
        <f>IFERROR(MID(VLOOKUP($B285,Seqs!$A:$B,2,0),AG285,1),"")</f>
        <v>C</v>
      </c>
      <c r="AG285" s="3">
        <v>210</v>
      </c>
      <c r="AH285" s="3" t="str">
        <f>IFERROR(MID(VLOOKUP($B285,Seqs!$A:$B,2,0),AI285,1),"")</f>
        <v>L</v>
      </c>
      <c r="AI285" s="3">
        <v>212</v>
      </c>
      <c r="AJ285" s="3" t="str">
        <f>IFERROR(MID(VLOOKUP($B285,Seqs!$A:$B,2,0),AK285,1),"")</f>
        <v>W</v>
      </c>
      <c r="AK285" s="3">
        <v>221</v>
      </c>
      <c r="AL285" s="3" t="str">
        <f>IFERROR(MID(VLOOKUP($B285,Seqs!$A:$B,2,0),AM285,1),"")</f>
        <v>S</v>
      </c>
      <c r="AM285" s="3">
        <v>255</v>
      </c>
      <c r="AN285" s="3" t="str">
        <f>IFERROR(MID(VLOOKUP($B285,Seqs!$A:$B,2,0),AO285,1),"")</f>
        <v>S</v>
      </c>
      <c r="AO285" s="3">
        <v>262</v>
      </c>
      <c r="AP285" s="3" t="str">
        <f>IFERROR(MID(VLOOKUP($B285,Seqs!$A:$B,2,0),AQ285,1),"")</f>
        <v>G</v>
      </c>
      <c r="AQ285" s="3">
        <v>300</v>
      </c>
      <c r="AR285" s="3" t="str">
        <f>IFERROR(MID(VLOOKUP($B285,Seqs!$A:$B,2,0),AS285,1),"")</f>
        <v>S</v>
      </c>
      <c r="AS285" s="3">
        <v>305</v>
      </c>
      <c r="AT285" s="3" t="str">
        <f>IFERROR(MID(VLOOKUP($B285,Seqs!$A:$B,2,0),AU285,1),"")</f>
        <v>I</v>
      </c>
      <c r="AU285" s="3">
        <v>328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A</v>
      </c>
      <c r="BA285" s="94" t="str">
        <f>VLOOKUP(B285,Classification!A:D,4,0)</f>
        <v>Opioid</v>
      </c>
      <c r="BB285" s="27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>_xlfn.AGGREGATE(9,6,CH285:CS285)-_xlfn.AGGREGATE(9,6,BV285:CG285)+12</f>
        <v>240</v>
      </c>
      <c r="BD285" s="2" t="s">
        <v>1369</v>
      </c>
      <c r="BE285" s="3" t="s">
        <v>1285</v>
      </c>
      <c r="BF285" s="118">
        <v>3.1</v>
      </c>
      <c r="BG285" s="49" t="s">
        <v>1</v>
      </c>
      <c r="BH285" s="49" t="s">
        <v>1</v>
      </c>
      <c r="BI285" s="1"/>
      <c r="BJ285" s="70" t="s">
        <v>1281</v>
      </c>
      <c r="BK285" s="57" t="s">
        <v>1281</v>
      </c>
      <c r="BL285" s="57" t="s">
        <v>1281</v>
      </c>
      <c r="BM285" s="57" t="s">
        <v>1281</v>
      </c>
      <c r="BN285" s="57" t="s">
        <v>1281</v>
      </c>
      <c r="BO285" s="57" t="s">
        <v>1281</v>
      </c>
      <c r="BP285" s="57" t="s">
        <v>1281</v>
      </c>
      <c r="BQ285" s="57" t="s">
        <v>1281</v>
      </c>
      <c r="BR285" s="57" t="s">
        <v>1281</v>
      </c>
      <c r="BS285" s="57" t="s">
        <v>1281</v>
      </c>
      <c r="BT285" s="57" t="s">
        <v>1281</v>
      </c>
      <c r="BU285" s="57" t="s">
        <v>1281</v>
      </c>
      <c r="BV285" s="70">
        <f>E285</f>
        <v>57</v>
      </c>
      <c r="BW285" s="71" t="str">
        <f>I285</f>
        <v>-</v>
      </c>
      <c r="BX285" s="72">
        <f>M285</f>
        <v>92</v>
      </c>
      <c r="BY285" s="71">
        <f>Q285</f>
        <v>123</v>
      </c>
      <c r="BZ285" s="72">
        <f>U285</f>
        <v>127</v>
      </c>
      <c r="CA285" s="71">
        <f>Y285</f>
        <v>163</v>
      </c>
      <c r="CB285" s="72">
        <f>AC285</f>
        <v>171</v>
      </c>
      <c r="CC285" s="71">
        <f>AG285</f>
        <v>210</v>
      </c>
      <c r="CD285" s="72">
        <f>AK285</f>
        <v>221</v>
      </c>
      <c r="CE285" s="71">
        <f>AO285</f>
        <v>262</v>
      </c>
      <c r="CF285" s="72">
        <f>AS285</f>
        <v>305</v>
      </c>
      <c r="CG285" s="71" t="str">
        <f>AW285</f>
        <v>-</v>
      </c>
      <c r="CH285" s="70">
        <f>G285</f>
        <v>87</v>
      </c>
      <c r="CI285" s="71" t="str">
        <f>K285</f>
        <v>-</v>
      </c>
      <c r="CJ285" s="72">
        <f>O285</f>
        <v>122</v>
      </c>
      <c r="CK285" s="72">
        <f>S285</f>
        <v>126</v>
      </c>
      <c r="CL285" s="72">
        <f>W285</f>
        <v>162</v>
      </c>
      <c r="CM285" s="72">
        <f>AA285</f>
        <v>170</v>
      </c>
      <c r="CN285" s="72">
        <f>AE285</f>
        <v>197</v>
      </c>
      <c r="CO285" s="72">
        <f>AI285</f>
        <v>212</v>
      </c>
      <c r="CP285" s="72">
        <f>AM285</f>
        <v>255</v>
      </c>
      <c r="CQ285" s="72">
        <f>AQ285</f>
        <v>300</v>
      </c>
      <c r="CR285" s="72">
        <f>AU285</f>
        <v>328</v>
      </c>
      <c r="CS285" s="72" t="str">
        <f>AY285</f>
        <v>-</v>
      </c>
      <c r="CT285" s="23" t="e">
        <f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s="12" customFormat="1" x14ac:dyDescent="0.2">
      <c r="A286" s="9" t="str">
        <f>CONCATENATE(B286,"_",C286)</f>
        <v>oprk_human_6VI4</v>
      </c>
      <c r="B286" s="9" t="s">
        <v>335</v>
      </c>
      <c r="C286" s="9" t="s">
        <v>1659</v>
      </c>
      <c r="D286" s="9" t="str">
        <f>IFERROR(MID(VLOOKUP($B286,Seqs!$A:$B,2,0),E286,1),"")</f>
        <v>T</v>
      </c>
      <c r="E286" s="9">
        <v>63</v>
      </c>
      <c r="F286" s="9" t="str">
        <f>IFERROR(MID(VLOOKUP($B286,Seqs!$A:$B,2,0),G286,1),"")</f>
        <v>Y</v>
      </c>
      <c r="G286" s="9">
        <v>87</v>
      </c>
      <c r="H286" s="9" t="str">
        <f>IFERROR(MID(VLOOKUP($B286,Seqs!$A:$B,2,0),I286,1),"")</f>
        <v>T</v>
      </c>
      <c r="I286" s="109">
        <v>88</v>
      </c>
      <c r="J286" s="9" t="str">
        <f>IFERROR(MID(VLOOKUP($B286,Seqs!$A:$B,2,0),K286,1),"")</f>
        <v>K</v>
      </c>
      <c r="K286" s="109">
        <v>91</v>
      </c>
      <c r="L286" s="9" t="str">
        <f>IFERROR(MID(VLOOKUP($B286,Seqs!$A:$B,2,0),M286,1),"")</f>
        <v>T</v>
      </c>
      <c r="M286" s="9">
        <v>92</v>
      </c>
      <c r="N286" s="9" t="str">
        <f>IFERROR(MID(VLOOKUP($B286,Seqs!$A:$B,2,0),O286,1),"")</f>
        <v>N</v>
      </c>
      <c r="O286" s="9">
        <v>122</v>
      </c>
      <c r="P286" s="9" t="str">
        <f>IFERROR(MID(VLOOKUP($B286,Seqs!$A:$B,2,0),Q286,1),"")</f>
        <v>S</v>
      </c>
      <c r="Q286" s="9">
        <v>123</v>
      </c>
      <c r="R286" s="9" t="str">
        <f>IFERROR(MID(VLOOKUP($B286,Seqs!$A:$B,2,0),S286,1),"")</f>
        <v>F</v>
      </c>
      <c r="S286" s="9">
        <v>126</v>
      </c>
      <c r="T286" s="9" t="str">
        <f>IFERROR(MID(VLOOKUP($B286,Seqs!$A:$B,2,0),U286,1),"")</f>
        <v>D</v>
      </c>
      <c r="U286" s="9">
        <v>128</v>
      </c>
      <c r="V286" s="9" t="str">
        <f>IFERROR(MID(VLOOKUP($B286,Seqs!$A:$B,2,0),W286,1),"")</f>
        <v>H</v>
      </c>
      <c r="W286" s="9">
        <v>162</v>
      </c>
      <c r="X286" s="9" t="str">
        <f>IFERROR(MID(VLOOKUP($B286,Seqs!$A:$B,2,0),Y286,1),"")</f>
        <v>P</v>
      </c>
      <c r="Y286" s="9">
        <v>163</v>
      </c>
      <c r="Z286" s="9" t="str">
        <f>IFERROR(MID(VLOOKUP($B286,Seqs!$A:$B,2,0),AA286,1),"")</f>
        <v>R</v>
      </c>
      <c r="AA286" s="9">
        <v>170</v>
      </c>
      <c r="AB286" s="9" t="str">
        <f>IFERROR(MID(VLOOKUP($B286,Seqs!$A:$B,2,0),AC286,1),"")</f>
        <v>T</v>
      </c>
      <c r="AC286" s="9">
        <v>171</v>
      </c>
      <c r="AD286" s="9" t="str">
        <f>IFERROR(MID(VLOOKUP($B286,Seqs!$A:$B,2,0),AE286,1),"")</f>
        <v>G</v>
      </c>
      <c r="AE286" s="9">
        <v>197</v>
      </c>
      <c r="AF286" s="9" t="str">
        <f>IFERROR(MID(VLOOKUP($B286,Seqs!$A:$B,2,0),AG286,1),"")</f>
        <v>C</v>
      </c>
      <c r="AG286" s="9">
        <v>210</v>
      </c>
      <c r="AH286" s="9" t="str">
        <f>IFERROR(MID(VLOOKUP($B286,Seqs!$A:$B,2,0),AI286,1),"")</f>
        <v>L</v>
      </c>
      <c r="AI286" s="9">
        <v>212</v>
      </c>
      <c r="AJ286" s="9" t="str">
        <f>IFERROR(MID(VLOOKUP($B286,Seqs!$A:$B,2,0),AK286,1),"")</f>
        <v>Y</v>
      </c>
      <c r="AK286" s="9">
        <v>219</v>
      </c>
      <c r="AL286" s="9" t="str">
        <f>IFERROR(MID(VLOOKUP($B286,Seqs!$A:$B,2,0),AM286,1),"")</f>
        <v>V</v>
      </c>
      <c r="AM286" s="9">
        <v>256</v>
      </c>
      <c r="AN286" s="9" t="str">
        <f>IFERROR(MID(VLOOKUP($B286,Seqs!$A:$B,2,0),AO286,1),"")</f>
        <v>S</v>
      </c>
      <c r="AO286" s="9">
        <v>262</v>
      </c>
      <c r="AP286" s="9" t="str">
        <f>IFERROR(MID(VLOOKUP($B286,Seqs!$A:$B,2,0),AQ286,1),"")</f>
        <v>L</v>
      </c>
      <c r="AQ286" s="9">
        <v>299</v>
      </c>
      <c r="AR286" s="9" t="str">
        <f>IFERROR(MID(VLOOKUP($B286,Seqs!$A:$B,2,0),AS286,1),"")</f>
        <v>A</v>
      </c>
      <c r="AS286" s="9">
        <v>308</v>
      </c>
      <c r="AT286" s="9" t="str">
        <f>IFERROR(MID(VLOOKUP($B286,Seqs!$A:$B,2,0),AU286,1),"")</f>
        <v>L</v>
      </c>
      <c r="AU286" s="9">
        <v>333</v>
      </c>
      <c r="AV286" s="9" t="str">
        <f>IFERROR(MID(VLOOKUP($B286,Seqs!$A:$B,2,0),AW286,1),"")</f>
        <v>D</v>
      </c>
      <c r="AW286" s="9">
        <v>334</v>
      </c>
      <c r="AX286" s="9" t="str">
        <f>IFERROR(MID(VLOOKUP($B286,Seqs!$A:$B,2,0),AY286,1),"")</f>
        <v>F</v>
      </c>
      <c r="AY286" s="9">
        <v>346</v>
      </c>
      <c r="AZ286" s="110" t="str">
        <f>VLOOKUP(B286,Classification!A:D,2,0)</f>
        <v>A</v>
      </c>
      <c r="BA286" s="98" t="str">
        <f>VLOOKUP(B286,Classification!A:D,4,0)</f>
        <v>Opioid</v>
      </c>
      <c r="BB286" s="36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252</v>
      </c>
      <c r="BD286" s="40" t="s">
        <v>1370</v>
      </c>
      <c r="BE286" s="9" t="s">
        <v>1368</v>
      </c>
      <c r="BF286" s="119">
        <v>3.3</v>
      </c>
      <c r="BG286" s="51" t="s">
        <v>1275</v>
      </c>
      <c r="BH286" s="51" t="s">
        <v>1275</v>
      </c>
      <c r="BJ286" s="111" t="s">
        <v>1281</v>
      </c>
      <c r="BK286" s="112" t="s">
        <v>1281</v>
      </c>
      <c r="BL286" s="112" t="s">
        <v>1281</v>
      </c>
      <c r="BM286" s="112" t="s">
        <v>1281</v>
      </c>
      <c r="BN286" s="112" t="s">
        <v>1281</v>
      </c>
      <c r="BO286" s="112" t="s">
        <v>1281</v>
      </c>
      <c r="BP286" s="112" t="s">
        <v>1281</v>
      </c>
      <c r="BQ286" s="112" t="s">
        <v>1281</v>
      </c>
      <c r="BR286" s="112" t="s">
        <v>1281</v>
      </c>
      <c r="BS286" s="112" t="s">
        <v>1281</v>
      </c>
      <c r="BT286" s="112" t="s">
        <v>1281</v>
      </c>
      <c r="BU286" s="112" t="s">
        <v>1281</v>
      </c>
      <c r="BV286" s="111">
        <f>E286</f>
        <v>63</v>
      </c>
      <c r="BW286" s="113">
        <f>I286</f>
        <v>88</v>
      </c>
      <c r="BX286" s="114">
        <f>M286</f>
        <v>92</v>
      </c>
      <c r="BY286" s="113">
        <f>Q286</f>
        <v>123</v>
      </c>
      <c r="BZ286" s="114">
        <f>U286</f>
        <v>128</v>
      </c>
      <c r="CA286" s="113">
        <f>Y286</f>
        <v>163</v>
      </c>
      <c r="CB286" s="114">
        <f>AC286</f>
        <v>171</v>
      </c>
      <c r="CC286" s="113">
        <f>AG286</f>
        <v>210</v>
      </c>
      <c r="CD286" s="114">
        <f>AK286</f>
        <v>219</v>
      </c>
      <c r="CE286" s="113">
        <f>AO286</f>
        <v>262</v>
      </c>
      <c r="CF286" s="114">
        <f>AS286</f>
        <v>308</v>
      </c>
      <c r="CG286" s="113">
        <f>AW286</f>
        <v>334</v>
      </c>
      <c r="CH286" s="111">
        <f>G286</f>
        <v>87</v>
      </c>
      <c r="CI286" s="113">
        <f>K286</f>
        <v>91</v>
      </c>
      <c r="CJ286" s="114">
        <f>O286</f>
        <v>122</v>
      </c>
      <c r="CK286" s="114">
        <f>S286</f>
        <v>126</v>
      </c>
      <c r="CL286" s="114">
        <f>W286</f>
        <v>162</v>
      </c>
      <c r="CM286" s="114">
        <f>AA286</f>
        <v>170</v>
      </c>
      <c r="CN286" s="114">
        <f>AE286</f>
        <v>197</v>
      </c>
      <c r="CO286" s="114">
        <f>AI286</f>
        <v>212</v>
      </c>
      <c r="CP286" s="114">
        <f>AM286</f>
        <v>256</v>
      </c>
      <c r="CQ286" s="114">
        <f>AQ286</f>
        <v>299</v>
      </c>
      <c r="CR286" s="114">
        <f>AU286</f>
        <v>333</v>
      </c>
      <c r="CS286" s="114">
        <f>AY286</f>
        <v>346</v>
      </c>
      <c r="CT286" s="109">
        <f>M286-K286</f>
        <v>1</v>
      </c>
    </row>
    <row r="287" spans="1:1030" x14ac:dyDescent="0.2">
      <c r="A287" s="3" t="str">
        <f t="shared" si="1955"/>
        <v>oprm_mouse__wt</v>
      </c>
      <c r="B287" s="3" t="s">
        <v>911</v>
      </c>
      <c r="C287" s="3" t="s">
        <v>100</v>
      </c>
      <c r="D287" s="3" t="str">
        <f>IFERROR(MID(VLOOKUP($B287,Seqs!$A:$B,2,0),E287,1),"")</f>
        <v>M</v>
      </c>
      <c r="E287" s="3">
        <v>65</v>
      </c>
      <c r="F287" s="3" t="str">
        <f>IFERROR(MID(VLOOKUP($B287,Seqs!$A:$B,2,0),G287,1),"")</f>
        <v>Y</v>
      </c>
      <c r="G287" s="3">
        <v>96</v>
      </c>
      <c r="H287" s="3" t="str">
        <f>IFERROR(MID(VLOOKUP($B287,Seqs!$A:$B,2,0),I287,1),"")</f>
        <v>T</v>
      </c>
      <c r="I287" s="23">
        <v>97</v>
      </c>
      <c r="J287" s="3" t="str">
        <f>IFERROR(MID(VLOOKUP($B287,Seqs!$A:$B,2,0),K287,1),"")</f>
        <v>K</v>
      </c>
      <c r="K287" s="23">
        <v>100</v>
      </c>
      <c r="L287" s="3" t="str">
        <f>IFERROR(MID(VLOOKUP($B287,Seqs!$A:$B,2,0),M287,1),"")</f>
        <v>T</v>
      </c>
      <c r="M287" s="3">
        <v>101</v>
      </c>
      <c r="N287" s="3" t="str">
        <f>IFERROR(MID(VLOOKUP($B287,Seqs!$A:$B,2,0),O287,1),"")</f>
        <v>M</v>
      </c>
      <c r="O287" s="3">
        <v>130</v>
      </c>
      <c r="P287" s="3" t="str">
        <f>IFERROR(MID(VLOOKUP($B287,Seqs!$A:$B,2,0),Q287,1),"")</f>
        <v>T</v>
      </c>
      <c r="Q287" s="3">
        <v>132</v>
      </c>
      <c r="R287" s="3" t="str">
        <f>IFERROR(MID(VLOOKUP($B287,Seqs!$A:$B,2,0),S287,1),"")</f>
        <v>F</v>
      </c>
      <c r="S287" s="3">
        <v>135</v>
      </c>
      <c r="T287" s="3" t="str">
        <f>IFERROR(MID(VLOOKUP($B287,Seqs!$A:$B,2,0),U287,1),"")</f>
        <v>G</v>
      </c>
      <c r="U287" s="3">
        <v>136</v>
      </c>
      <c r="V287" s="3" t="str">
        <f>IFERROR(MID(VLOOKUP($B287,Seqs!$A:$B,2,0),W287,1),"")</f>
        <v>H</v>
      </c>
      <c r="W287" s="3">
        <v>171</v>
      </c>
      <c r="X287" s="3" t="str">
        <f>IFERROR(MID(VLOOKUP($B287,Seqs!$A:$B,2,0),Y287,1),"")</f>
        <v>P</v>
      </c>
      <c r="Y287" s="3">
        <v>172</v>
      </c>
      <c r="Z287" s="3" t="str">
        <f>IFERROR(MID(VLOOKUP($B287,Seqs!$A:$B,2,0),AA287,1),"")</f>
        <v>R</v>
      </c>
      <c r="AA287" s="3">
        <v>179</v>
      </c>
      <c r="AB287" s="3" t="str">
        <f>IFERROR(MID(VLOOKUP($B287,Seqs!$A:$B,2,0),AC287,1),"")</f>
        <v>T</v>
      </c>
      <c r="AC287" s="3">
        <v>180</v>
      </c>
      <c r="AD287" s="3" t="str">
        <f>IFERROR(MID(VLOOKUP($B287,Seqs!$A:$B,2,0),AE287,1),"")</f>
        <v>A</v>
      </c>
      <c r="AE287" s="3">
        <v>206</v>
      </c>
      <c r="AF287" s="3" t="str">
        <f>IFERROR(MID(VLOOKUP($B287,Seqs!$A:$B,2,0),AG287,1),"")</f>
        <v>C</v>
      </c>
      <c r="AG287" s="3">
        <v>217</v>
      </c>
      <c r="AH287" s="3" t="str">
        <f>IFERROR(MID(VLOOKUP($B287,Seqs!$A:$B,2,0),AI287,1),"")</f>
        <v>L</v>
      </c>
      <c r="AI287" s="3">
        <v>219</v>
      </c>
      <c r="AJ287" s="3" t="str">
        <f>IFERROR(MID(VLOOKUP($B287,Seqs!$A:$B,2,0),AK287,1),"")</f>
        <v>T</v>
      </c>
      <c r="AK287" s="3">
        <v>225</v>
      </c>
      <c r="AL287" s="3" t="str">
        <f>IFERROR(MID(VLOOKUP($B287,Seqs!$A:$B,2,0),AM287,1),"")</f>
        <v>V</v>
      </c>
      <c r="AM287" s="3">
        <v>262</v>
      </c>
      <c r="AN287" s="3" t="str">
        <f>IFERROR(MID(VLOOKUP($B287,Seqs!$A:$B,2,0),AO287,1),"")</f>
        <v>S</v>
      </c>
      <c r="AO287" s="3">
        <v>268</v>
      </c>
      <c r="AP287" s="3" t="str">
        <f>IFERROR(MID(VLOOKUP($B287,Seqs!$A:$B,2,0),AQ287,1),"")</f>
        <v>I</v>
      </c>
      <c r="AQ287" s="3">
        <v>306</v>
      </c>
      <c r="AR287" s="3" t="str">
        <f>IFERROR(MID(VLOOKUP($B287,Seqs!$A:$B,2,0),AS287,1),"")</f>
        <v>T</v>
      </c>
      <c r="AS287" s="3">
        <v>311</v>
      </c>
      <c r="AT287" s="3" t="str">
        <f>IFERROR(MID(VLOOKUP($B287,Seqs!$A:$B,2,0),AU287,1),"")</f>
        <v>L</v>
      </c>
      <c r="AU287" s="3">
        <v>339</v>
      </c>
      <c r="AV287" s="3" t="str">
        <f>IFERROR(MID(VLOOKUP($B287,Seqs!$A:$B,2,0),AW287,1),"")</f>
        <v>D</v>
      </c>
      <c r="AW287" s="3">
        <v>340</v>
      </c>
      <c r="AX287" s="3" t="str">
        <f>IFERROR(MID(VLOOKUP($B287,Seqs!$A:$B,2,0),AY287,1),"")</f>
        <v>I</v>
      </c>
      <c r="AY287" s="3">
        <v>352</v>
      </c>
      <c r="AZ287" s="77" t="str">
        <f>VLOOKUP(B287,Classification!A:D,2,0)</f>
        <v>A</v>
      </c>
      <c r="BA287" s="94" t="str">
        <f>VLOOKUP(B287,Classification!A:D,4,0)</f>
        <v>Opioid</v>
      </c>
      <c r="BB287" s="27" t="b">
        <f t="shared" si="1956"/>
        <v>1</v>
      </c>
      <c r="BC287" s="23">
        <f t="shared" si="1705"/>
        <v>263</v>
      </c>
      <c r="BD287" s="56" t="s">
        <v>23</v>
      </c>
      <c r="BE287" s="3" t="s">
        <v>23</v>
      </c>
      <c r="BF287" s="118" t="s">
        <v>23</v>
      </c>
      <c r="BG287" s="49" t="s">
        <v>1366</v>
      </c>
      <c r="BH287" s="49" t="s">
        <v>1371</v>
      </c>
      <c r="BI287" s="1"/>
      <c r="BJ287" s="70" t="s">
        <v>1281</v>
      </c>
      <c r="BK287" s="57" t="s">
        <v>1281</v>
      </c>
      <c r="BL287" s="57" t="s">
        <v>1281</v>
      </c>
      <c r="BM287" s="57" t="s">
        <v>1281</v>
      </c>
      <c r="BN287" s="57" t="s">
        <v>1281</v>
      </c>
      <c r="BO287" s="57" t="s">
        <v>1281</v>
      </c>
      <c r="BP287" s="57" t="s">
        <v>1281</v>
      </c>
      <c r="BQ287" s="57" t="s">
        <v>1281</v>
      </c>
      <c r="BR287" s="57" t="s">
        <v>1281</v>
      </c>
      <c r="BS287" s="57" t="s">
        <v>1281</v>
      </c>
      <c r="BT287" s="57" t="s">
        <v>1281</v>
      </c>
      <c r="BU287" s="57" t="s">
        <v>1281</v>
      </c>
      <c r="BV287" s="70">
        <f t="shared" si="1706"/>
        <v>65</v>
      </c>
      <c r="BW287" s="71">
        <f t="shared" si="1707"/>
        <v>97</v>
      </c>
      <c r="BX287" s="72">
        <f t="shared" si="1708"/>
        <v>101</v>
      </c>
      <c r="BY287" s="71">
        <f t="shared" si="1709"/>
        <v>132</v>
      </c>
      <c r="BZ287" s="72">
        <f t="shared" si="1710"/>
        <v>136</v>
      </c>
      <c r="CA287" s="71">
        <f t="shared" si="1711"/>
        <v>172</v>
      </c>
      <c r="CB287" s="72">
        <f t="shared" si="1712"/>
        <v>180</v>
      </c>
      <c r="CC287" s="71">
        <f t="shared" si="1713"/>
        <v>217</v>
      </c>
      <c r="CD287" s="72">
        <f t="shared" si="1714"/>
        <v>225</v>
      </c>
      <c r="CE287" s="71">
        <f t="shared" si="1715"/>
        <v>268</v>
      </c>
      <c r="CF287" s="72">
        <f t="shared" si="1716"/>
        <v>311</v>
      </c>
      <c r="CG287" s="71">
        <f t="shared" si="1717"/>
        <v>340</v>
      </c>
      <c r="CH287" s="70">
        <f t="shared" si="1718"/>
        <v>96</v>
      </c>
      <c r="CI287" s="71">
        <f t="shared" si="1719"/>
        <v>100</v>
      </c>
      <c r="CJ287" s="72">
        <f t="shared" si="1720"/>
        <v>130</v>
      </c>
      <c r="CK287" s="72">
        <f t="shared" si="1721"/>
        <v>135</v>
      </c>
      <c r="CL287" s="72">
        <f t="shared" si="1722"/>
        <v>171</v>
      </c>
      <c r="CM287" s="72">
        <f t="shared" si="1723"/>
        <v>179</v>
      </c>
      <c r="CN287" s="72">
        <f t="shared" si="1724"/>
        <v>206</v>
      </c>
      <c r="CO287" s="72">
        <f t="shared" si="1725"/>
        <v>219</v>
      </c>
      <c r="CP287" s="72">
        <f t="shared" si="1726"/>
        <v>262</v>
      </c>
      <c r="CQ287" s="72">
        <f t="shared" si="1727"/>
        <v>306</v>
      </c>
      <c r="CR287" s="72">
        <f t="shared" si="1728"/>
        <v>339</v>
      </c>
      <c r="CS287" s="72">
        <f t="shared" si="1729"/>
        <v>352</v>
      </c>
      <c r="CT287" s="23">
        <f t="shared" si="1730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955"/>
        <v>oprm_mouse_4DKL</v>
      </c>
      <c r="B288" s="3" t="s">
        <v>911</v>
      </c>
      <c r="C288" s="3" t="s">
        <v>65</v>
      </c>
      <c r="D288" s="3" t="str">
        <f>IFERROR(MID(VLOOKUP($B288,Seqs!$A:$B,2,0),E288,1),"")</f>
        <v>M</v>
      </c>
      <c r="E288" s="3">
        <v>65</v>
      </c>
      <c r="F288" s="3" t="str">
        <f>IFERROR(MID(VLOOKUP($B288,Seqs!$A:$B,2,0),G288,1),"")</f>
        <v>Y</v>
      </c>
      <c r="G288" s="3">
        <v>96</v>
      </c>
      <c r="H288" s="3" t="str">
        <f>IFERROR(MID(VLOOKUP($B288,Seqs!$A:$B,2,0),I288,1),"")</f>
        <v>T</v>
      </c>
      <c r="I288" s="23">
        <v>97</v>
      </c>
      <c r="J288" s="3" t="str">
        <f>IFERROR(MID(VLOOKUP($B288,Seqs!$A:$B,2,0),K288,1),"")</f>
        <v>K</v>
      </c>
      <c r="K288" s="23">
        <v>100</v>
      </c>
      <c r="L288" s="3" t="str">
        <f>IFERROR(MID(VLOOKUP($B288,Seqs!$A:$B,2,0),M288,1),"")</f>
        <v>T</v>
      </c>
      <c r="M288" s="3">
        <v>101</v>
      </c>
      <c r="N288" s="3" t="str">
        <f>IFERROR(MID(VLOOKUP($B288,Seqs!$A:$B,2,0),O288,1),"")</f>
        <v>M</v>
      </c>
      <c r="O288" s="3">
        <v>130</v>
      </c>
      <c r="P288" s="3" t="str">
        <f>IFERROR(MID(VLOOKUP($B288,Seqs!$A:$B,2,0),Q288,1),"")</f>
        <v>T</v>
      </c>
      <c r="Q288" s="3">
        <v>132</v>
      </c>
      <c r="R288" s="3" t="str">
        <f>IFERROR(MID(VLOOKUP($B288,Seqs!$A:$B,2,0),S288,1),"")</f>
        <v>F</v>
      </c>
      <c r="S288" s="3">
        <v>135</v>
      </c>
      <c r="T288" s="3" t="str">
        <f>IFERROR(MID(VLOOKUP($B288,Seqs!$A:$B,2,0),U288,1),"")</f>
        <v>G</v>
      </c>
      <c r="U288" s="3">
        <v>136</v>
      </c>
      <c r="V288" s="3" t="str">
        <f>IFERROR(MID(VLOOKUP($B288,Seqs!$A:$B,2,0),W288,1),"")</f>
        <v>H</v>
      </c>
      <c r="W288" s="3">
        <v>171</v>
      </c>
      <c r="X288" s="3" t="str">
        <f>IFERROR(MID(VLOOKUP($B288,Seqs!$A:$B,2,0),Y288,1),"")</f>
        <v>P</v>
      </c>
      <c r="Y288" s="3">
        <v>172</v>
      </c>
      <c r="Z288" s="3" t="str">
        <f>IFERROR(MID(VLOOKUP($B288,Seqs!$A:$B,2,0),AA288,1),"")</f>
        <v>R</v>
      </c>
      <c r="AA288" s="3">
        <v>179</v>
      </c>
      <c r="AB288" s="3" t="str">
        <f>IFERROR(MID(VLOOKUP($B288,Seqs!$A:$B,2,0),AC288,1),"")</f>
        <v>T</v>
      </c>
      <c r="AC288" s="3">
        <v>180</v>
      </c>
      <c r="AD288" s="3" t="str">
        <f>IFERROR(MID(VLOOKUP($B288,Seqs!$A:$B,2,0),AE288,1),"")</f>
        <v>A</v>
      </c>
      <c r="AE288" s="3">
        <v>206</v>
      </c>
      <c r="AF288" s="3" t="str">
        <f>IFERROR(MID(VLOOKUP($B288,Seqs!$A:$B,2,0),AG288,1),"")</f>
        <v>C</v>
      </c>
      <c r="AG288" s="3">
        <v>217</v>
      </c>
      <c r="AH288" s="3" t="str">
        <f>IFERROR(MID(VLOOKUP($B288,Seqs!$A:$B,2,0),AI288,1),"")</f>
        <v>L</v>
      </c>
      <c r="AI288" s="3">
        <v>219</v>
      </c>
      <c r="AJ288" s="3" t="str">
        <f>IFERROR(MID(VLOOKUP($B288,Seqs!$A:$B,2,0),AK288,1),"")</f>
        <v>T</v>
      </c>
      <c r="AK288" s="3">
        <v>225</v>
      </c>
      <c r="AL288" s="3" t="str">
        <f>IFERROR(MID(VLOOKUP($B288,Seqs!$A:$B,2,0),AM288,1),"")</f>
        <v>L</v>
      </c>
      <c r="AM288" s="3">
        <v>257</v>
      </c>
      <c r="AN288" s="3" t="str">
        <f>IFERROR(MID(VLOOKUP($B288,Seqs!$A:$B,2,0),AO288,1),"")</f>
        <v>N</v>
      </c>
      <c r="AO288" s="3">
        <v>274</v>
      </c>
      <c r="AP288" s="3" t="str">
        <f>IFERROR(MID(VLOOKUP($B288,Seqs!$A:$B,2,0),AQ288,1),"")</f>
        <v>I</v>
      </c>
      <c r="AQ288" s="3">
        <v>306</v>
      </c>
      <c r="AR288" s="3" t="str">
        <f>IFERROR(MID(VLOOKUP($B288,Seqs!$A:$B,2,0),AS288,1),"")</f>
        <v>T</v>
      </c>
      <c r="AS288" s="3">
        <v>311</v>
      </c>
      <c r="AT288" s="3" t="str">
        <f>IFERROR(MID(VLOOKUP($B288,Seqs!$A:$B,2,0),AU288,1),"")</f>
        <v>L</v>
      </c>
      <c r="AU288" s="3">
        <v>339</v>
      </c>
      <c r="AV288" s="3" t="str">
        <f>IFERROR(MID(VLOOKUP($B288,Seqs!$A:$B,2,0),AW288,1),"")</f>
        <v>D</v>
      </c>
      <c r="AW288" s="3">
        <v>340</v>
      </c>
      <c r="AX288" s="3" t="str">
        <f>IFERROR(MID(VLOOKUP($B288,Seqs!$A:$B,2,0),AY288,1),"")</f>
        <v>I</v>
      </c>
      <c r="AY288" s="3">
        <v>352</v>
      </c>
      <c r="AZ288" s="77" t="str">
        <f>VLOOKUP(B288,Classification!A:D,2,0)</f>
        <v>A</v>
      </c>
      <c r="BA288" s="94" t="str">
        <f>VLOOKUP(B288,Classification!A:D,4,0)</f>
        <v>Opioid</v>
      </c>
      <c r="BB288" s="27" t="b">
        <f t="shared" si="1956"/>
        <v>1</v>
      </c>
      <c r="BC288" s="23">
        <f t="shared" si="1705"/>
        <v>252</v>
      </c>
      <c r="BD288" s="2" t="s">
        <v>1370</v>
      </c>
      <c r="BE288" s="3" t="s">
        <v>1368</v>
      </c>
      <c r="BF288" s="118">
        <v>2.8</v>
      </c>
      <c r="BG288" s="49" t="s">
        <v>1371</v>
      </c>
      <c r="BH288" s="49" t="s">
        <v>1371</v>
      </c>
      <c r="BI288" s="1"/>
      <c r="BJ288" s="70" t="s">
        <v>1281</v>
      </c>
      <c r="BK288" s="57" t="s">
        <v>1281</v>
      </c>
      <c r="BL288" s="57" t="s">
        <v>1281</v>
      </c>
      <c r="BM288" s="57" t="s">
        <v>1281</v>
      </c>
      <c r="BN288" s="57" t="s">
        <v>1281</v>
      </c>
      <c r="BO288" s="57" t="s">
        <v>1281</v>
      </c>
      <c r="BP288" s="57" t="s">
        <v>1281</v>
      </c>
      <c r="BQ288" s="57" t="s">
        <v>1281</v>
      </c>
      <c r="BR288" s="57" t="s">
        <v>1281</v>
      </c>
      <c r="BS288" s="57" t="s">
        <v>1281</v>
      </c>
      <c r="BT288" s="57" t="s">
        <v>1281</v>
      </c>
      <c r="BU288" s="57" t="s">
        <v>1281</v>
      </c>
      <c r="BV288" s="70">
        <f t="shared" si="1706"/>
        <v>65</v>
      </c>
      <c r="BW288" s="71">
        <f t="shared" si="1707"/>
        <v>97</v>
      </c>
      <c r="BX288" s="72">
        <f t="shared" si="1708"/>
        <v>101</v>
      </c>
      <c r="BY288" s="71">
        <f t="shared" si="1709"/>
        <v>132</v>
      </c>
      <c r="BZ288" s="72">
        <f t="shared" si="1710"/>
        <v>136</v>
      </c>
      <c r="CA288" s="71">
        <f t="shared" si="1711"/>
        <v>172</v>
      </c>
      <c r="CB288" s="72">
        <f t="shared" si="1712"/>
        <v>180</v>
      </c>
      <c r="CC288" s="71">
        <f t="shared" si="1713"/>
        <v>217</v>
      </c>
      <c r="CD288" s="72">
        <f t="shared" si="1714"/>
        <v>225</v>
      </c>
      <c r="CE288" s="71">
        <f t="shared" si="1715"/>
        <v>274</v>
      </c>
      <c r="CF288" s="72">
        <f t="shared" si="1716"/>
        <v>311</v>
      </c>
      <c r="CG288" s="71">
        <f t="shared" si="1717"/>
        <v>340</v>
      </c>
      <c r="CH288" s="70">
        <f t="shared" si="1718"/>
        <v>96</v>
      </c>
      <c r="CI288" s="71">
        <f t="shared" si="1719"/>
        <v>100</v>
      </c>
      <c r="CJ288" s="72">
        <f t="shared" si="1720"/>
        <v>130</v>
      </c>
      <c r="CK288" s="72">
        <f t="shared" si="1721"/>
        <v>135</v>
      </c>
      <c r="CL288" s="72">
        <f t="shared" si="1722"/>
        <v>171</v>
      </c>
      <c r="CM288" s="72">
        <f t="shared" si="1723"/>
        <v>179</v>
      </c>
      <c r="CN288" s="72">
        <f t="shared" si="1724"/>
        <v>206</v>
      </c>
      <c r="CO288" s="72">
        <f t="shared" si="1725"/>
        <v>219</v>
      </c>
      <c r="CP288" s="72">
        <f t="shared" si="1726"/>
        <v>257</v>
      </c>
      <c r="CQ288" s="72">
        <f t="shared" si="1727"/>
        <v>306</v>
      </c>
      <c r="CR288" s="72">
        <f t="shared" si="1728"/>
        <v>339</v>
      </c>
      <c r="CS288" s="72">
        <f t="shared" si="1729"/>
        <v>352</v>
      </c>
      <c r="CT288" s="23">
        <f t="shared" si="1730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955"/>
        <v>oprm_mouse_5C1M</v>
      </c>
      <c r="B289" s="3" t="s">
        <v>911</v>
      </c>
      <c r="C289" s="3" t="s">
        <v>84</v>
      </c>
      <c r="D289" s="3" t="str">
        <f>IFERROR(MID(VLOOKUP($B289,Seqs!$A:$B,2,0),E289,1),"")</f>
        <v>M</v>
      </c>
      <c r="E289" s="3">
        <v>65</v>
      </c>
      <c r="F289" s="3" t="str">
        <f>IFERROR(MID(VLOOKUP($B289,Seqs!$A:$B,2,0),G289,1),"")</f>
        <v>Y</v>
      </c>
      <c r="G289" s="3">
        <v>96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T</v>
      </c>
      <c r="M289" s="3">
        <v>101</v>
      </c>
      <c r="N289" s="3" t="str">
        <f>IFERROR(MID(VLOOKUP($B289,Seqs!$A:$B,2,0),O289,1),"")</f>
        <v>M</v>
      </c>
      <c r="O289" s="3">
        <v>130</v>
      </c>
      <c r="P289" s="3" t="str">
        <f>IFERROR(MID(VLOOKUP($B289,Seqs!$A:$B,2,0),Q289,1),"")</f>
        <v>T</v>
      </c>
      <c r="Q289" s="3">
        <v>132</v>
      </c>
      <c r="R289" s="3" t="str">
        <f>IFERROR(MID(VLOOKUP($B289,Seqs!$A:$B,2,0),S289,1),"")</f>
        <v>F</v>
      </c>
      <c r="S289" s="3">
        <v>135</v>
      </c>
      <c r="T289" s="3" t="str">
        <f>IFERROR(MID(VLOOKUP($B289,Seqs!$A:$B,2,0),U289,1),"")</f>
        <v>G</v>
      </c>
      <c r="U289" s="3">
        <v>136</v>
      </c>
      <c r="V289" s="3" t="str">
        <f>IFERROR(MID(VLOOKUP($B289,Seqs!$A:$B,2,0),W289,1),"")</f>
        <v>H</v>
      </c>
      <c r="W289" s="3">
        <v>171</v>
      </c>
      <c r="X289" s="3" t="str">
        <f>IFERROR(MID(VLOOKUP($B289,Seqs!$A:$B,2,0),Y289,1),"")</f>
        <v>P</v>
      </c>
      <c r="Y289" s="3">
        <v>172</v>
      </c>
      <c r="Z289" s="3" t="str">
        <f>IFERROR(MID(VLOOKUP($B289,Seqs!$A:$B,2,0),AA289,1),"")</f>
        <v>R</v>
      </c>
      <c r="AA289" s="3">
        <v>179</v>
      </c>
      <c r="AB289" s="3" t="str">
        <f>IFERROR(MID(VLOOKUP($B289,Seqs!$A:$B,2,0),AC289,1),"")</f>
        <v>T</v>
      </c>
      <c r="AC289" s="3">
        <v>180</v>
      </c>
      <c r="AD289" s="3" t="str">
        <f>IFERROR(MID(VLOOKUP($B289,Seqs!$A:$B,2,0),AE289,1),"")</f>
        <v>A</v>
      </c>
      <c r="AE289" s="3">
        <v>206</v>
      </c>
      <c r="AF289" s="3" t="str">
        <f>IFERROR(MID(VLOOKUP($B289,Seqs!$A:$B,2,0),AG289,1),"")</f>
        <v>C</v>
      </c>
      <c r="AG289" s="3">
        <v>217</v>
      </c>
      <c r="AH289" s="3" t="str">
        <f>IFERROR(MID(VLOOKUP($B289,Seqs!$A:$B,2,0),AI289,1),"")</f>
        <v>L</v>
      </c>
      <c r="AI289" s="3">
        <v>219</v>
      </c>
      <c r="AJ289" s="3" t="str">
        <f>IFERROR(MID(VLOOKUP($B289,Seqs!$A:$B,2,0),AK289,1),"")</f>
        <v>T</v>
      </c>
      <c r="AK289" s="3">
        <v>225</v>
      </c>
      <c r="AL289" s="3" t="str">
        <f>IFERROR(MID(VLOOKUP($B289,Seqs!$A:$B,2,0),AM289,1),"")</f>
        <v>V</v>
      </c>
      <c r="AM289" s="3">
        <v>262</v>
      </c>
      <c r="AN289" s="3" t="str">
        <f>IFERROR(MID(VLOOKUP($B289,Seqs!$A:$B,2,0),AO289,1),"")</f>
        <v>S</v>
      </c>
      <c r="AO289" s="3">
        <v>268</v>
      </c>
      <c r="AP289" s="3" t="str">
        <f>IFERROR(MID(VLOOKUP($B289,Seqs!$A:$B,2,0),AQ289,1),"")</f>
        <v>I</v>
      </c>
      <c r="AQ289" s="3">
        <v>306</v>
      </c>
      <c r="AR289" s="3" t="str">
        <f>IFERROR(MID(VLOOKUP($B289,Seqs!$A:$B,2,0),AS289,1),"")</f>
        <v>T</v>
      </c>
      <c r="AS289" s="3">
        <v>311</v>
      </c>
      <c r="AT289" s="3" t="str">
        <f>IFERROR(MID(VLOOKUP($B289,Seqs!$A:$B,2,0),AU289,1),"")</f>
        <v>P</v>
      </c>
      <c r="AU289" s="3">
        <v>333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Opioid</v>
      </c>
      <c r="BB289" s="27" t="b">
        <f t="shared" si="1956"/>
        <v>1</v>
      </c>
      <c r="BC289" s="23">
        <f t="shared" si="1705"/>
        <v>242</v>
      </c>
      <c r="BD289" s="5" t="s">
        <v>1369</v>
      </c>
      <c r="BE289" s="3" t="s">
        <v>1285</v>
      </c>
      <c r="BF289" s="118">
        <v>2.1</v>
      </c>
      <c r="BG289" s="49" t="s">
        <v>1371</v>
      </c>
      <c r="BH289" s="49" t="s">
        <v>1371</v>
      </c>
      <c r="BI289" s="1"/>
      <c r="BJ289" s="70" t="s">
        <v>1281</v>
      </c>
      <c r="BK289" s="57" t="s">
        <v>1281</v>
      </c>
      <c r="BL289" s="57" t="s">
        <v>1281</v>
      </c>
      <c r="BM289" s="57" t="s">
        <v>1281</v>
      </c>
      <c r="BN289" s="57" t="s">
        <v>1281</v>
      </c>
      <c r="BO289" s="57" t="s">
        <v>1281</v>
      </c>
      <c r="BP289" s="57" t="s">
        <v>1281</v>
      </c>
      <c r="BQ289" s="57" t="s">
        <v>1281</v>
      </c>
      <c r="BR289" s="57" t="s">
        <v>1281</v>
      </c>
      <c r="BS289" s="57" t="s">
        <v>1281</v>
      </c>
      <c r="BT289" s="57" t="s">
        <v>1281</v>
      </c>
      <c r="BU289" s="57" t="s">
        <v>1281</v>
      </c>
      <c r="BV289" s="70">
        <f t="shared" si="1706"/>
        <v>65</v>
      </c>
      <c r="BW289" s="71" t="str">
        <f t="shared" si="1707"/>
        <v>-</v>
      </c>
      <c r="BX289" s="72">
        <f t="shared" si="1708"/>
        <v>101</v>
      </c>
      <c r="BY289" s="71">
        <f t="shared" si="1709"/>
        <v>132</v>
      </c>
      <c r="BZ289" s="72">
        <f t="shared" si="1710"/>
        <v>136</v>
      </c>
      <c r="CA289" s="71">
        <f t="shared" si="1711"/>
        <v>172</v>
      </c>
      <c r="CB289" s="72">
        <f t="shared" si="1712"/>
        <v>180</v>
      </c>
      <c r="CC289" s="71">
        <f t="shared" si="1713"/>
        <v>217</v>
      </c>
      <c r="CD289" s="72">
        <f t="shared" si="1714"/>
        <v>225</v>
      </c>
      <c r="CE289" s="71">
        <f t="shared" si="1715"/>
        <v>268</v>
      </c>
      <c r="CF289" s="72">
        <f t="shared" si="1716"/>
        <v>311</v>
      </c>
      <c r="CG289" s="71" t="str">
        <f t="shared" si="1717"/>
        <v>-</v>
      </c>
      <c r="CH289" s="70">
        <f t="shared" si="1718"/>
        <v>96</v>
      </c>
      <c r="CI289" s="71" t="str">
        <f t="shared" si="1719"/>
        <v>-</v>
      </c>
      <c r="CJ289" s="72">
        <f t="shared" si="1720"/>
        <v>130</v>
      </c>
      <c r="CK289" s="72">
        <f t="shared" si="1721"/>
        <v>135</v>
      </c>
      <c r="CL289" s="72">
        <f t="shared" si="1722"/>
        <v>171</v>
      </c>
      <c r="CM289" s="72">
        <f t="shared" si="1723"/>
        <v>179</v>
      </c>
      <c r="CN289" s="72">
        <f t="shared" si="1724"/>
        <v>206</v>
      </c>
      <c r="CO289" s="72">
        <f t="shared" si="1725"/>
        <v>219</v>
      </c>
      <c r="CP289" s="72">
        <f t="shared" si="1726"/>
        <v>262</v>
      </c>
      <c r="CQ289" s="72">
        <f t="shared" si="1727"/>
        <v>306</v>
      </c>
      <c r="CR289" s="72">
        <f t="shared" si="1728"/>
        <v>333</v>
      </c>
      <c r="CS289" s="72" t="str">
        <f t="shared" si="1729"/>
        <v>-</v>
      </c>
      <c r="CT289" s="23" t="e">
        <f t="shared" si="1730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>CONCATENATE(B290,"_",C290)</f>
        <v>oprm_mouse_6DDE</v>
      </c>
      <c r="B290" s="3" t="s">
        <v>911</v>
      </c>
      <c r="C290" s="3" t="s">
        <v>1494</v>
      </c>
      <c r="D290" s="3" t="str">
        <f>IFERROR(MID(VLOOKUP($B290,Seqs!$A:$B,2,0),E290,1),"")</f>
        <v>T</v>
      </c>
      <c r="E290" s="3">
        <v>67</v>
      </c>
      <c r="F290" s="3" t="str">
        <f>IFERROR(MID(VLOOKUP($B290,Seqs!$A:$B,2,0),G290,1),"")</f>
        <v>K</v>
      </c>
      <c r="G290" s="3">
        <v>98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A</v>
      </c>
      <c r="M290" s="3">
        <v>102</v>
      </c>
      <c r="N290" s="3" t="str">
        <f>IFERROR(MID(VLOOKUP($B290,Seqs!$A:$B,2,0),O290,1),"")</f>
        <v>G</v>
      </c>
      <c r="O290" s="3">
        <v>131</v>
      </c>
      <c r="P290" s="3" t="str">
        <f>IFERROR(MID(VLOOKUP($B290,Seqs!$A:$B,2,0),Q290,1),"")</f>
        <v>T</v>
      </c>
      <c r="Q290" s="3">
        <v>132</v>
      </c>
      <c r="R290" s="3" t="str">
        <f>IFERROR(MID(VLOOKUP($B290,Seqs!$A:$B,2,0),S290,1),"")</f>
        <v>F</v>
      </c>
      <c r="S290" s="3">
        <v>135</v>
      </c>
      <c r="T290" s="3" t="str">
        <f>IFERROR(MID(VLOOKUP($B290,Seqs!$A:$B,2,0),U290,1),"")</f>
        <v>G</v>
      </c>
      <c r="U290" s="3">
        <v>136</v>
      </c>
      <c r="V290" s="3" t="str">
        <f>IFERROR(MID(VLOOKUP($B290,Seqs!$A:$B,2,0),W290,1),"")</f>
        <v>H</v>
      </c>
      <c r="W290" s="3">
        <v>171</v>
      </c>
      <c r="X290" s="3" t="str">
        <f>IFERROR(MID(VLOOKUP($B290,Seqs!$A:$B,2,0),Y290,1),"")</f>
        <v>P</v>
      </c>
      <c r="Y290" s="3">
        <v>172</v>
      </c>
      <c r="Z290" s="3" t="str">
        <f>IFERROR(MID(VLOOKUP($B290,Seqs!$A:$B,2,0),AA290,1),"")</f>
        <v>R</v>
      </c>
      <c r="AA290" s="3">
        <v>179</v>
      </c>
      <c r="AB290" s="3" t="str">
        <f>IFERROR(MID(VLOOKUP($B290,Seqs!$A:$B,2,0),AC290,1),"")</f>
        <v>T</v>
      </c>
      <c r="AC290" s="3">
        <v>180</v>
      </c>
      <c r="AD290" s="3" t="str">
        <f>IFERROR(MID(VLOOKUP($B290,Seqs!$A:$B,2,0),AE290,1),"")</f>
        <v>F</v>
      </c>
      <c r="AE290" s="3">
        <v>204</v>
      </c>
      <c r="AF290" s="3" t="str">
        <f>IFERROR(MID(VLOOKUP($B290,Seqs!$A:$B,2,0),AG290,1),"")</f>
        <v>C</v>
      </c>
      <c r="AG290" s="3">
        <v>217</v>
      </c>
      <c r="AH290" s="3" t="str">
        <f>IFERROR(MID(VLOOKUP($B290,Seqs!$A:$B,2,0),AI290,1),"")</f>
        <v>L</v>
      </c>
      <c r="AI290" s="3">
        <v>219</v>
      </c>
      <c r="AJ290" s="3" t="str">
        <f>IFERROR(MID(VLOOKUP($B290,Seqs!$A:$B,2,0),AK290,1),"")</f>
        <v>Y</v>
      </c>
      <c r="AK290" s="3">
        <v>227</v>
      </c>
      <c r="AL290" s="3" t="str">
        <f>IFERROR(MID(VLOOKUP($B290,Seqs!$A:$B,2,0),AM290,1),"")</f>
        <v>V</v>
      </c>
      <c r="AM290" s="3">
        <v>262</v>
      </c>
      <c r="AN290" s="3" t="str">
        <f>IFERROR(MID(VLOOKUP($B290,Seqs!$A:$B,2,0),AO290,1),"")</f>
        <v>S</v>
      </c>
      <c r="AO290" s="3">
        <v>268</v>
      </c>
      <c r="AP290" s="3" t="str">
        <f>IFERROR(MID(VLOOKUP($B290,Seqs!$A:$B,2,0),AQ290,1),"")</f>
        <v>I</v>
      </c>
      <c r="AQ290" s="3">
        <v>306</v>
      </c>
      <c r="AR290" s="3" t="str">
        <f>IFERROR(MID(VLOOKUP($B290,Seqs!$A:$B,2,0),AS290,1),"")</f>
        <v>F</v>
      </c>
      <c r="AS290" s="3">
        <v>313</v>
      </c>
      <c r="AT290" s="3" t="str">
        <f>IFERROR(MID(VLOOKUP($B290,Seqs!$A:$B,2,0),AU290,1),"")</f>
        <v>Y</v>
      </c>
      <c r="AU290" s="3">
        <v>336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Opioid</v>
      </c>
      <c r="BB290" s="27" t="b">
        <f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>_xlfn.AGGREGATE(9,6,CH290:CS290)-_xlfn.AGGREGATE(9,6,BV290:CG290)+12</f>
        <v>239</v>
      </c>
      <c r="BD290" s="5" t="s">
        <v>23</v>
      </c>
      <c r="BE290" s="3" t="s">
        <v>1285</v>
      </c>
      <c r="BF290" s="118">
        <v>3.5</v>
      </c>
      <c r="BG290" s="49" t="s">
        <v>1416</v>
      </c>
      <c r="BH290" s="49" t="s">
        <v>1416</v>
      </c>
      <c r="BI290" s="1"/>
      <c r="BJ290" s="70" t="s">
        <v>1281</v>
      </c>
      <c r="BK290" s="57" t="s">
        <v>1281</v>
      </c>
      <c r="BL290" s="57" t="s">
        <v>1281</v>
      </c>
      <c r="BM290" s="57" t="s">
        <v>1281</v>
      </c>
      <c r="BN290" s="57" t="s">
        <v>1281</v>
      </c>
      <c r="BO290" s="57" t="s">
        <v>1281</v>
      </c>
      <c r="BP290" s="57" t="s">
        <v>1281</v>
      </c>
      <c r="BQ290" s="57" t="s">
        <v>1281</v>
      </c>
      <c r="BR290" s="57" t="s">
        <v>1281</v>
      </c>
      <c r="BS290" s="57" t="s">
        <v>1281</v>
      </c>
      <c r="BT290" s="57" t="s">
        <v>1281</v>
      </c>
      <c r="BU290" s="57" t="s">
        <v>1281</v>
      </c>
      <c r="BV290" s="70">
        <f>E290</f>
        <v>67</v>
      </c>
      <c r="BW290" s="71" t="str">
        <f>I290</f>
        <v>-</v>
      </c>
      <c r="BX290" s="72">
        <f>M290</f>
        <v>102</v>
      </c>
      <c r="BY290" s="71">
        <f>Q290</f>
        <v>132</v>
      </c>
      <c r="BZ290" s="72">
        <f>U290</f>
        <v>136</v>
      </c>
      <c r="CA290" s="71">
        <f>Y290</f>
        <v>172</v>
      </c>
      <c r="CB290" s="72">
        <f>AC290</f>
        <v>180</v>
      </c>
      <c r="CC290" s="71">
        <f>AG290</f>
        <v>217</v>
      </c>
      <c r="CD290" s="72">
        <f>AK290</f>
        <v>227</v>
      </c>
      <c r="CE290" s="71">
        <f>AO290</f>
        <v>268</v>
      </c>
      <c r="CF290" s="72">
        <f>AS290</f>
        <v>313</v>
      </c>
      <c r="CG290" s="71" t="str">
        <f>AW290</f>
        <v>-</v>
      </c>
      <c r="CH290" s="70">
        <f>G290</f>
        <v>98</v>
      </c>
      <c r="CI290" s="71" t="str">
        <f>K290</f>
        <v>-</v>
      </c>
      <c r="CJ290" s="72">
        <f>O290</f>
        <v>131</v>
      </c>
      <c r="CK290" s="72">
        <f>S290</f>
        <v>135</v>
      </c>
      <c r="CL290" s="72">
        <f>W290</f>
        <v>171</v>
      </c>
      <c r="CM290" s="72">
        <f>AA290</f>
        <v>179</v>
      </c>
      <c r="CN290" s="72">
        <f>AE290</f>
        <v>204</v>
      </c>
      <c r="CO290" s="72">
        <f>AI290</f>
        <v>219</v>
      </c>
      <c r="CP290" s="72">
        <f>AM290</f>
        <v>262</v>
      </c>
      <c r="CQ290" s="72">
        <f>AQ290</f>
        <v>306</v>
      </c>
      <c r="CR290" s="72">
        <f>AU290</f>
        <v>336</v>
      </c>
      <c r="CS290" s="72" t="str">
        <f>AY290</f>
        <v>-</v>
      </c>
      <c r="CT290" s="23" t="e">
        <f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>CONCATENATE(B291,"_",C291)</f>
        <v>oprm_mouse_6DDF</v>
      </c>
      <c r="B291" s="3" t="s">
        <v>911</v>
      </c>
      <c r="C291" s="3" t="s">
        <v>1495</v>
      </c>
      <c r="D291" s="3" t="str">
        <f>IFERROR(MID(VLOOKUP($B291,Seqs!$A:$B,2,0),E291,1),"")</f>
        <v>T</v>
      </c>
      <c r="E291" s="3">
        <v>67</v>
      </c>
      <c r="F291" s="3" t="str">
        <f>IFERROR(MID(VLOOKUP($B291,Seqs!$A:$B,2,0),G291,1),"")</f>
        <v>K</v>
      </c>
      <c r="G291" s="3">
        <v>98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A</v>
      </c>
      <c r="M291" s="3">
        <v>102</v>
      </c>
      <c r="N291" s="3" t="str">
        <f>IFERROR(MID(VLOOKUP($B291,Seqs!$A:$B,2,0),O291,1),"")</f>
        <v>G</v>
      </c>
      <c r="O291" s="3">
        <v>131</v>
      </c>
      <c r="P291" s="3" t="str">
        <f>IFERROR(MID(VLOOKUP($B291,Seqs!$A:$B,2,0),Q291,1),"")</f>
        <v>T</v>
      </c>
      <c r="Q291" s="3">
        <v>132</v>
      </c>
      <c r="R291" s="3" t="str">
        <f>IFERROR(MID(VLOOKUP($B291,Seqs!$A:$B,2,0),S291,1),"")</f>
        <v>F</v>
      </c>
      <c r="S291" s="3">
        <v>135</v>
      </c>
      <c r="T291" s="3" t="str">
        <f>IFERROR(MID(VLOOKUP($B291,Seqs!$A:$B,2,0),U291,1),"")</f>
        <v>G</v>
      </c>
      <c r="U291" s="3">
        <v>136</v>
      </c>
      <c r="V291" s="3" t="str">
        <f>IFERROR(MID(VLOOKUP($B291,Seqs!$A:$B,2,0),W291,1),"")</f>
        <v>H</v>
      </c>
      <c r="W291" s="3">
        <v>171</v>
      </c>
      <c r="X291" s="3" t="str">
        <f>IFERROR(MID(VLOOKUP($B291,Seqs!$A:$B,2,0),Y291,1),"")</f>
        <v>P</v>
      </c>
      <c r="Y291" s="3">
        <v>172</v>
      </c>
      <c r="Z291" s="3" t="str">
        <f>IFERROR(MID(VLOOKUP($B291,Seqs!$A:$B,2,0),AA291,1),"")</f>
        <v>R</v>
      </c>
      <c r="AA291" s="3">
        <v>179</v>
      </c>
      <c r="AB291" s="3" t="str">
        <f>IFERROR(MID(VLOOKUP($B291,Seqs!$A:$B,2,0),AC291,1),"")</f>
        <v>T</v>
      </c>
      <c r="AC291" s="3">
        <v>180</v>
      </c>
      <c r="AD291" s="3" t="str">
        <f>IFERROR(MID(VLOOKUP($B291,Seqs!$A:$B,2,0),AE291,1),"")</f>
        <v>F</v>
      </c>
      <c r="AE291" s="3">
        <v>204</v>
      </c>
      <c r="AF291" s="3" t="str">
        <f>IFERROR(MID(VLOOKUP($B291,Seqs!$A:$B,2,0),AG291,1),"")</f>
        <v>C</v>
      </c>
      <c r="AG291" s="3">
        <v>217</v>
      </c>
      <c r="AH291" s="3" t="str">
        <f>IFERROR(MID(VLOOKUP($B291,Seqs!$A:$B,2,0),AI291,1),"")</f>
        <v>L</v>
      </c>
      <c r="AI291" s="3">
        <v>219</v>
      </c>
      <c r="AJ291" s="3" t="str">
        <f>IFERROR(MID(VLOOKUP($B291,Seqs!$A:$B,2,0),AK291,1),"")</f>
        <v>Y</v>
      </c>
      <c r="AK291" s="3">
        <v>227</v>
      </c>
      <c r="AL291" s="3" t="str">
        <f>IFERROR(MID(VLOOKUP($B291,Seqs!$A:$B,2,0),AM291,1),"")</f>
        <v>V</v>
      </c>
      <c r="AM291" s="3">
        <v>262</v>
      </c>
      <c r="AN291" s="3" t="str">
        <f>IFERROR(MID(VLOOKUP($B291,Seqs!$A:$B,2,0),AO291,1),"")</f>
        <v>S</v>
      </c>
      <c r="AO291" s="3">
        <v>268</v>
      </c>
      <c r="AP291" s="3" t="str">
        <f>IFERROR(MID(VLOOKUP($B291,Seqs!$A:$B,2,0),AQ291,1),"")</f>
        <v>I</v>
      </c>
      <c r="AQ291" s="3">
        <v>306</v>
      </c>
      <c r="AR291" s="3" t="str">
        <f>IFERROR(MID(VLOOKUP($B291,Seqs!$A:$B,2,0),AS291,1),"")</f>
        <v>F</v>
      </c>
      <c r="AS291" s="3">
        <v>313</v>
      </c>
      <c r="AT291" s="3" t="str">
        <f>IFERROR(MID(VLOOKUP($B291,Seqs!$A:$B,2,0),AU291,1),"")</f>
        <v>Y</v>
      </c>
      <c r="AU291" s="3">
        <v>336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Opioid</v>
      </c>
      <c r="BB291" s="27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>_xlfn.AGGREGATE(9,6,CH291:CS291)-_xlfn.AGGREGATE(9,6,BV291:CG291)+12</f>
        <v>239</v>
      </c>
      <c r="BD291" s="5" t="s">
        <v>23</v>
      </c>
      <c r="BE291" s="3" t="s">
        <v>1285</v>
      </c>
      <c r="BF291" s="118">
        <v>4.5</v>
      </c>
      <c r="BG291" s="49" t="s">
        <v>1416</v>
      </c>
      <c r="BH291" s="49" t="s">
        <v>1416</v>
      </c>
      <c r="BI291" s="1"/>
      <c r="BJ291" s="70" t="s">
        <v>1281</v>
      </c>
      <c r="BK291" s="57" t="s">
        <v>1281</v>
      </c>
      <c r="BL291" s="57" t="s">
        <v>1281</v>
      </c>
      <c r="BM291" s="57" t="s">
        <v>1281</v>
      </c>
      <c r="BN291" s="57" t="s">
        <v>1281</v>
      </c>
      <c r="BO291" s="57" t="s">
        <v>1281</v>
      </c>
      <c r="BP291" s="57" t="s">
        <v>1281</v>
      </c>
      <c r="BQ291" s="57" t="s">
        <v>1281</v>
      </c>
      <c r="BR291" s="57" t="s">
        <v>1281</v>
      </c>
      <c r="BS291" s="57" t="s">
        <v>1281</v>
      </c>
      <c r="BT291" s="57" t="s">
        <v>1281</v>
      </c>
      <c r="BU291" s="57" t="s">
        <v>1281</v>
      </c>
      <c r="BV291" s="70">
        <f>E291</f>
        <v>67</v>
      </c>
      <c r="BW291" s="71" t="str">
        <f>I291</f>
        <v>-</v>
      </c>
      <c r="BX291" s="72">
        <f>M291</f>
        <v>102</v>
      </c>
      <c r="BY291" s="71">
        <f>Q291</f>
        <v>132</v>
      </c>
      <c r="BZ291" s="72">
        <f>U291</f>
        <v>136</v>
      </c>
      <c r="CA291" s="71">
        <f>Y291</f>
        <v>172</v>
      </c>
      <c r="CB291" s="72">
        <f>AC291</f>
        <v>180</v>
      </c>
      <c r="CC291" s="71">
        <f>AG291</f>
        <v>217</v>
      </c>
      <c r="CD291" s="72">
        <f>AK291</f>
        <v>227</v>
      </c>
      <c r="CE291" s="71">
        <f>AO291</f>
        <v>268</v>
      </c>
      <c r="CF291" s="72">
        <f>AS291</f>
        <v>313</v>
      </c>
      <c r="CG291" s="71" t="str">
        <f>AW291</f>
        <v>-</v>
      </c>
      <c r="CH291" s="70">
        <f>G291</f>
        <v>98</v>
      </c>
      <c r="CI291" s="71" t="str">
        <f>K291</f>
        <v>-</v>
      </c>
      <c r="CJ291" s="72">
        <f>O291</f>
        <v>131</v>
      </c>
      <c r="CK291" s="72">
        <f>S291</f>
        <v>135</v>
      </c>
      <c r="CL291" s="72">
        <f>W291</f>
        <v>171</v>
      </c>
      <c r="CM291" s="72">
        <f>AA291</f>
        <v>179</v>
      </c>
      <c r="CN291" s="72">
        <f>AE291</f>
        <v>204</v>
      </c>
      <c r="CO291" s="72">
        <f>AI291</f>
        <v>219</v>
      </c>
      <c r="CP291" s="72">
        <f>AM291</f>
        <v>262</v>
      </c>
      <c r="CQ291" s="72">
        <f>AQ291</f>
        <v>306</v>
      </c>
      <c r="CR291" s="72">
        <f>AU291</f>
        <v>336</v>
      </c>
      <c r="CS291" s="72" t="str">
        <f>AY291</f>
        <v>-</v>
      </c>
      <c r="CT291" s="23" t="e">
        <f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955"/>
        <v>oprx_human__wt</v>
      </c>
      <c r="B292" s="3" t="s">
        <v>1167</v>
      </c>
      <c r="C292" s="3" t="s">
        <v>100</v>
      </c>
      <c r="D292" s="3" t="str">
        <f>IFERROR(MID(VLOOKUP($B292,Seqs!$A:$B,2,0),E292,1),"")</f>
        <v>L</v>
      </c>
      <c r="E292" s="3">
        <v>48</v>
      </c>
      <c r="F292" s="3" t="str">
        <f>IFERROR(MID(VLOOKUP($B292,Seqs!$A:$B,2,0),G292,1),"")</f>
        <v>H</v>
      </c>
      <c r="G292" s="3">
        <v>79</v>
      </c>
      <c r="H292" s="3" t="str">
        <f>IFERROR(MID(VLOOKUP($B292,Seqs!$A:$B,2,0),I292,1),"")</f>
        <v>T</v>
      </c>
      <c r="I292" s="23">
        <v>80</v>
      </c>
      <c r="J292" s="3" t="str">
        <f>IFERROR(MID(VLOOKUP($B292,Seqs!$A:$B,2,0),K292,1),"")</f>
        <v>K</v>
      </c>
      <c r="K292" s="23">
        <v>83</v>
      </c>
      <c r="L292" s="3" t="str">
        <f>IFERROR(MID(VLOOKUP($B292,Seqs!$A:$B,2,0),M292,1),"")</f>
        <v>T</v>
      </c>
      <c r="M292" s="3">
        <v>84</v>
      </c>
      <c r="N292" s="3" t="str">
        <f>IFERROR(MID(VLOOKUP($B292,Seqs!$A:$B,2,0),O292,1),"")</f>
        <v>L</v>
      </c>
      <c r="O292" s="3">
        <v>113</v>
      </c>
      <c r="P292" s="3" t="str">
        <f>IFERROR(MID(VLOOKUP($B292,Seqs!$A:$B,2,0),Q292,1),"")</f>
        <v>F</v>
      </c>
      <c r="Q292" s="3">
        <v>115</v>
      </c>
      <c r="R292" s="3" t="str">
        <f>IFERROR(MID(VLOOKUP($B292,Seqs!$A:$B,2,0),S292,1),"")</f>
        <v>F</v>
      </c>
      <c r="S292" s="3">
        <v>118</v>
      </c>
      <c r="T292" s="3" t="str">
        <f>IFERROR(MID(VLOOKUP($B292,Seqs!$A:$B,2,0),U292,1),"")</f>
        <v>G</v>
      </c>
      <c r="U292" s="3">
        <v>119</v>
      </c>
      <c r="V292" s="3" t="str">
        <f>IFERROR(MID(VLOOKUP($B292,Seqs!$A:$B,2,0),W292,1),"")</f>
        <v>H</v>
      </c>
      <c r="W292" s="3">
        <v>154</v>
      </c>
      <c r="X292" s="3" t="str">
        <f>IFERROR(MID(VLOOKUP($B292,Seqs!$A:$B,2,0),Y292,1),"")</f>
        <v>P</v>
      </c>
      <c r="Y292" s="3">
        <v>155</v>
      </c>
      <c r="Z292" s="3" t="str">
        <f>IFERROR(MID(VLOOKUP($B292,Seqs!$A:$B,2,0),AA292,1),"")</f>
        <v>R</v>
      </c>
      <c r="AA292" s="3">
        <v>162</v>
      </c>
      <c r="AB292" s="3" t="str">
        <f>IFERROR(MID(VLOOKUP($B292,Seqs!$A:$B,2,0),AC292,1),"")</f>
        <v>T</v>
      </c>
      <c r="AC292" s="9">
        <v>163</v>
      </c>
      <c r="AD292" s="3" t="str">
        <f>IFERROR(MID(VLOOKUP($B292,Seqs!$A:$B,2,0),AE292,1),"")</f>
        <v>G</v>
      </c>
      <c r="AE292" s="3">
        <v>189</v>
      </c>
      <c r="AF292" s="3" t="str">
        <f>IFERROR(MID(VLOOKUP($B292,Seqs!$A:$B,2,0),AG292,1),"")</f>
        <v>C</v>
      </c>
      <c r="AG292" s="3">
        <v>200</v>
      </c>
      <c r="AH292" s="3" t="str">
        <f>IFERROR(MID(VLOOKUP($B292,Seqs!$A:$B,2,0),AI292,1),"")</f>
        <v>V</v>
      </c>
      <c r="AI292" s="3">
        <v>202</v>
      </c>
      <c r="AJ292" s="3" t="str">
        <f>IFERROR(MID(VLOOKUP($B292,Seqs!$A:$B,2,0),AK292,1),"")</f>
        <v>Q</v>
      </c>
      <c r="AK292" s="3">
        <v>208</v>
      </c>
      <c r="AL292" s="3" t="str">
        <f>IFERROR(MID(VLOOKUP($B292,Seqs!$A:$B,2,0),AM292,1),"")</f>
        <v>V</v>
      </c>
      <c r="AM292" s="3">
        <v>245</v>
      </c>
      <c r="AN292" s="3" t="str">
        <f>IFERROR(MID(VLOOKUP($B292,Seqs!$A:$B,2,0),AO292,1),"")</f>
        <v>S</v>
      </c>
      <c r="AO292" s="3">
        <v>251</v>
      </c>
      <c r="AP292" s="3" t="str">
        <f>IFERROR(MID(VLOOKUP($B292,Seqs!$A:$B,2,0),AQ292,1),"")</f>
        <v>G</v>
      </c>
      <c r="AQ292" s="3">
        <v>289</v>
      </c>
      <c r="AR292" s="3" t="str">
        <f>IFERROR(MID(VLOOKUP($B292,Seqs!$A:$B,2,0),AS292,1),"")</f>
        <v>S</v>
      </c>
      <c r="AS292" s="3">
        <v>294</v>
      </c>
      <c r="AT292" s="3" t="str">
        <f>IFERROR(MID(VLOOKUP($B292,Seqs!$A:$B,2,0),AU292,1),"")</f>
        <v>L</v>
      </c>
      <c r="AU292" s="3">
        <v>322</v>
      </c>
      <c r="AV292" s="3" t="str">
        <f>IFERROR(MID(VLOOKUP($B292,Seqs!$A:$B,2,0),AW292,1),"")</f>
        <v>D</v>
      </c>
      <c r="AW292" s="3">
        <v>323</v>
      </c>
      <c r="AX292" s="3" t="str">
        <f>IFERROR(MID(VLOOKUP($B292,Seqs!$A:$B,2,0),AY292,1),"")</f>
        <v>C</v>
      </c>
      <c r="AY292" s="3">
        <v>335</v>
      </c>
      <c r="AZ292" s="77" t="str">
        <f>VLOOKUP(B292,Classification!A:D,2,0)</f>
        <v>A</v>
      </c>
      <c r="BA292" s="94" t="str">
        <f>VLOOKUP(B292,Classification!A:D,4,0)</f>
        <v>Opioid</v>
      </c>
      <c r="BB292" s="27" t="b">
        <f t="shared" si="1956"/>
        <v>1</v>
      </c>
      <c r="BC292" s="23">
        <f t="shared" si="1705"/>
        <v>263</v>
      </c>
      <c r="BD292" s="56" t="s">
        <v>23</v>
      </c>
      <c r="BE292" s="3" t="s">
        <v>23</v>
      </c>
      <c r="BF292" s="118" t="s">
        <v>23</v>
      </c>
      <c r="BG292" s="49" t="s">
        <v>1366</v>
      </c>
      <c r="BH292" s="49" t="s">
        <v>1371</v>
      </c>
      <c r="BI292" s="1"/>
      <c r="BJ292" s="70" t="s">
        <v>1281</v>
      </c>
      <c r="BK292" s="57" t="s">
        <v>1281</v>
      </c>
      <c r="BL292" s="57" t="s">
        <v>1281</v>
      </c>
      <c r="BM292" s="57" t="s">
        <v>1281</v>
      </c>
      <c r="BN292" s="57" t="s">
        <v>1281</v>
      </c>
      <c r="BO292" s="57" t="s">
        <v>1281</v>
      </c>
      <c r="BP292" s="57" t="s">
        <v>1281</v>
      </c>
      <c r="BQ292" s="57" t="s">
        <v>1281</v>
      </c>
      <c r="BR292" s="57" t="s">
        <v>1281</v>
      </c>
      <c r="BS292" s="57" t="s">
        <v>1281</v>
      </c>
      <c r="BT292" s="57" t="s">
        <v>1281</v>
      </c>
      <c r="BU292" s="57" t="s">
        <v>1281</v>
      </c>
      <c r="BV292" s="70">
        <f t="shared" si="1706"/>
        <v>48</v>
      </c>
      <c r="BW292" s="71">
        <f t="shared" si="1707"/>
        <v>80</v>
      </c>
      <c r="BX292" s="72">
        <f t="shared" si="1708"/>
        <v>84</v>
      </c>
      <c r="BY292" s="71">
        <f t="shared" si="1709"/>
        <v>115</v>
      </c>
      <c r="BZ292" s="72">
        <f t="shared" si="1710"/>
        <v>119</v>
      </c>
      <c r="CA292" s="71">
        <f t="shared" si="1711"/>
        <v>155</v>
      </c>
      <c r="CB292" s="72">
        <f t="shared" si="1712"/>
        <v>163</v>
      </c>
      <c r="CC292" s="71">
        <f t="shared" si="1713"/>
        <v>200</v>
      </c>
      <c r="CD292" s="72">
        <f t="shared" si="1714"/>
        <v>208</v>
      </c>
      <c r="CE292" s="71">
        <f t="shared" si="1715"/>
        <v>251</v>
      </c>
      <c r="CF292" s="72">
        <f t="shared" si="1716"/>
        <v>294</v>
      </c>
      <c r="CG292" s="71">
        <f t="shared" si="1717"/>
        <v>323</v>
      </c>
      <c r="CH292" s="70">
        <f t="shared" si="1718"/>
        <v>79</v>
      </c>
      <c r="CI292" s="71">
        <f t="shared" si="1719"/>
        <v>83</v>
      </c>
      <c r="CJ292" s="72">
        <f t="shared" si="1720"/>
        <v>113</v>
      </c>
      <c r="CK292" s="72">
        <f t="shared" si="1721"/>
        <v>118</v>
      </c>
      <c r="CL292" s="72">
        <f t="shared" si="1722"/>
        <v>154</v>
      </c>
      <c r="CM292" s="72">
        <f t="shared" si="1723"/>
        <v>162</v>
      </c>
      <c r="CN292" s="72">
        <f t="shared" si="1724"/>
        <v>189</v>
      </c>
      <c r="CO292" s="72">
        <f t="shared" si="1725"/>
        <v>202</v>
      </c>
      <c r="CP292" s="72">
        <f t="shared" si="1726"/>
        <v>245</v>
      </c>
      <c r="CQ292" s="72">
        <f t="shared" si="1727"/>
        <v>289</v>
      </c>
      <c r="CR292" s="72">
        <f t="shared" si="1728"/>
        <v>322</v>
      </c>
      <c r="CS292" s="72">
        <f t="shared" si="1729"/>
        <v>335</v>
      </c>
      <c r="CT292" s="23">
        <f t="shared" si="1730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1955"/>
        <v>oprx_human_4EA3</v>
      </c>
      <c r="B293" s="3" t="s">
        <v>1167</v>
      </c>
      <c r="C293" s="3" t="s">
        <v>67</v>
      </c>
      <c r="D293" s="3" t="str">
        <f>IFERROR(MID(VLOOKUP($B293,Seqs!$A:$B,2,0),E293,1),"")</f>
        <v>L</v>
      </c>
      <c r="E293" s="3">
        <v>48</v>
      </c>
      <c r="F293" s="3" t="str">
        <f>IFERROR(MID(VLOOKUP($B293,Seqs!$A:$B,2,0),G293,1),"")</f>
        <v>H</v>
      </c>
      <c r="G293" s="3">
        <v>79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T</v>
      </c>
      <c r="M293" s="3">
        <v>84</v>
      </c>
      <c r="N293" s="3" t="str">
        <f>IFERROR(MID(VLOOKUP($B293,Seqs!$A:$B,2,0),O293,1),"")</f>
        <v>L</v>
      </c>
      <c r="O293" s="3">
        <v>113</v>
      </c>
      <c r="P293" s="3" t="str">
        <f>IFERROR(MID(VLOOKUP($B293,Seqs!$A:$B,2,0),Q293,1),"")</f>
        <v>F</v>
      </c>
      <c r="Q293" s="3">
        <v>115</v>
      </c>
      <c r="R293" s="3" t="str">
        <f>IFERROR(MID(VLOOKUP($B293,Seqs!$A:$B,2,0),S293,1),"")</f>
        <v>F</v>
      </c>
      <c r="S293" s="3">
        <v>118</v>
      </c>
      <c r="T293" s="3" t="str">
        <f>IFERROR(MID(VLOOKUP($B293,Seqs!$A:$B,2,0),U293,1),"")</f>
        <v>G</v>
      </c>
      <c r="U293" s="3">
        <v>119</v>
      </c>
      <c r="V293" s="3" t="str">
        <f>IFERROR(MID(VLOOKUP($B293,Seqs!$A:$B,2,0),W293,1),"")</f>
        <v>H</v>
      </c>
      <c r="W293" s="3">
        <v>154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163</v>
      </c>
      <c r="AD293" s="3" t="str">
        <f>IFERROR(MID(VLOOKUP($B293,Seqs!$A:$B,2,0),AE293,1),"")</f>
        <v>G</v>
      </c>
      <c r="AE293" s="3">
        <v>189</v>
      </c>
      <c r="AF293" s="3" t="str">
        <f>IFERROR(MID(VLOOKUP($B293,Seqs!$A:$B,2,0),AG293,1),"")</f>
        <v>C</v>
      </c>
      <c r="AG293" s="3">
        <v>200</v>
      </c>
      <c r="AH293" s="3" t="str">
        <f>IFERROR(MID(VLOOKUP($B293,Seqs!$A:$B,2,0),AI293,1),"")</f>
        <v>V</v>
      </c>
      <c r="AI293" s="3">
        <v>202</v>
      </c>
      <c r="AJ293" s="3" t="str">
        <f>IFERROR(MID(VLOOKUP($B293,Seqs!$A:$B,2,0),AK293,1),"")</f>
        <v>Q</v>
      </c>
      <c r="AK293" s="3">
        <v>208</v>
      </c>
      <c r="AL293" s="3" t="str">
        <f>IFERROR(MID(VLOOKUP($B293,Seqs!$A:$B,2,0),AM293,1),"")</f>
        <v>L</v>
      </c>
      <c r="AM293" s="3">
        <v>242</v>
      </c>
      <c r="AN293" s="3" t="str">
        <f>IFERROR(MID(VLOOKUP($B293,Seqs!$A:$B,2,0),AO293,1),"")</f>
        <v>S</v>
      </c>
      <c r="AO293" s="3">
        <v>251</v>
      </c>
      <c r="AP293" s="3" t="str">
        <f>IFERROR(MID(VLOOKUP($B293,Seqs!$A:$B,2,0),AQ293,1),"")</f>
        <v>G</v>
      </c>
      <c r="AQ293" s="3">
        <v>289</v>
      </c>
      <c r="AR293" s="3" t="str">
        <f>IFERROR(MID(VLOOKUP($B293,Seqs!$A:$B,2,0),AS293,1),"")</f>
        <v>S</v>
      </c>
      <c r="AS293" s="3">
        <v>294</v>
      </c>
      <c r="AT293" s="3" t="str">
        <f>IFERROR(MID(VLOOKUP($B293,Seqs!$A:$B,2,0),AU293,1),"")</f>
        <v>L</v>
      </c>
      <c r="AU293" s="3">
        <v>322</v>
      </c>
      <c r="AV293" s="3" t="str">
        <f>IFERROR(MID(VLOOKUP($B293,Seqs!$A:$B,2,0),AW293,1),"")</f>
        <v>D</v>
      </c>
      <c r="AW293" s="3">
        <v>323</v>
      </c>
      <c r="AX293" s="3" t="str">
        <f>IFERROR(MID(VLOOKUP($B293,Seqs!$A:$B,2,0),AY293,1),"")</f>
        <v>R</v>
      </c>
      <c r="AY293" s="3">
        <v>331</v>
      </c>
      <c r="AZ293" s="77" t="str">
        <f>VLOOKUP(B293,Classification!A:D,2,0)</f>
        <v>A</v>
      </c>
      <c r="BA293" s="94" t="str">
        <f>VLOOKUP(B293,Classification!A:D,4,0)</f>
        <v>Opioid</v>
      </c>
      <c r="BB293" s="27" t="b">
        <f t="shared" si="1956"/>
        <v>1</v>
      </c>
      <c r="BC293" s="23">
        <f t="shared" si="1705"/>
        <v>246</v>
      </c>
      <c r="BD293" s="5" t="s">
        <v>23</v>
      </c>
      <c r="BE293" s="3" t="s">
        <v>1368</v>
      </c>
      <c r="BF293" s="118">
        <v>3.01</v>
      </c>
      <c r="BG293" s="49" t="s">
        <v>1371</v>
      </c>
      <c r="BH293" s="49" t="s">
        <v>1371</v>
      </c>
      <c r="BI293" s="1"/>
      <c r="BJ293" s="70" t="s">
        <v>1281</v>
      </c>
      <c r="BK293" s="57" t="s">
        <v>1281</v>
      </c>
      <c r="BL293" s="57" t="s">
        <v>1281</v>
      </c>
      <c r="BM293" s="57" t="s">
        <v>1281</v>
      </c>
      <c r="BN293" s="57" t="s">
        <v>1281</v>
      </c>
      <c r="BO293" s="57" t="s">
        <v>1281</v>
      </c>
      <c r="BP293" s="57" t="s">
        <v>1281</v>
      </c>
      <c r="BQ293" s="57" t="s">
        <v>1281</v>
      </c>
      <c r="BR293" s="57" t="s">
        <v>1281</v>
      </c>
      <c r="BS293" s="57" t="s">
        <v>1281</v>
      </c>
      <c r="BT293" s="57" t="s">
        <v>1281</v>
      </c>
      <c r="BU293" s="57" t="s">
        <v>1281</v>
      </c>
      <c r="BV293" s="70">
        <f t="shared" si="1706"/>
        <v>48</v>
      </c>
      <c r="BW293" s="71" t="str">
        <f t="shared" si="1707"/>
        <v>-</v>
      </c>
      <c r="BX293" s="72">
        <f t="shared" si="1708"/>
        <v>84</v>
      </c>
      <c r="BY293" s="71">
        <f t="shared" si="1709"/>
        <v>115</v>
      </c>
      <c r="BZ293" s="72">
        <f t="shared" si="1710"/>
        <v>119</v>
      </c>
      <c r="CA293" s="71" t="str">
        <f t="shared" si="1711"/>
        <v>-</v>
      </c>
      <c r="CB293" s="72">
        <f t="shared" si="1712"/>
        <v>163</v>
      </c>
      <c r="CC293" s="71">
        <f t="shared" si="1713"/>
        <v>200</v>
      </c>
      <c r="CD293" s="72">
        <f t="shared" si="1714"/>
        <v>208</v>
      </c>
      <c r="CE293" s="71">
        <f t="shared" si="1715"/>
        <v>251</v>
      </c>
      <c r="CF293" s="72">
        <f t="shared" si="1716"/>
        <v>294</v>
      </c>
      <c r="CG293" s="71">
        <f t="shared" si="1717"/>
        <v>323</v>
      </c>
      <c r="CH293" s="70">
        <f t="shared" si="1718"/>
        <v>79</v>
      </c>
      <c r="CI293" s="71" t="str">
        <f t="shared" si="1719"/>
        <v>-</v>
      </c>
      <c r="CJ293" s="72">
        <f t="shared" si="1720"/>
        <v>113</v>
      </c>
      <c r="CK293" s="72">
        <f t="shared" si="1721"/>
        <v>118</v>
      </c>
      <c r="CL293" s="72">
        <f t="shared" si="1722"/>
        <v>154</v>
      </c>
      <c r="CM293" s="72" t="str">
        <f t="shared" si="1723"/>
        <v>-</v>
      </c>
      <c r="CN293" s="72">
        <f t="shared" si="1724"/>
        <v>189</v>
      </c>
      <c r="CO293" s="72">
        <f t="shared" si="1725"/>
        <v>202</v>
      </c>
      <c r="CP293" s="72">
        <f t="shared" si="1726"/>
        <v>242</v>
      </c>
      <c r="CQ293" s="72">
        <f t="shared" si="1727"/>
        <v>289</v>
      </c>
      <c r="CR293" s="72">
        <f t="shared" si="1728"/>
        <v>322</v>
      </c>
      <c r="CS293" s="72">
        <f t="shared" si="1729"/>
        <v>331</v>
      </c>
      <c r="CT293" s="23" t="e">
        <f t="shared" si="1730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1955"/>
        <v>oprx_human_5DHG</v>
      </c>
      <c r="B294" s="3" t="s">
        <v>1167</v>
      </c>
      <c r="C294" s="3" t="s">
        <v>1349</v>
      </c>
      <c r="D294" s="3" t="str">
        <f>IFERROR(MID(VLOOKUP($B294,Seqs!$A:$B,2,0),E294,1),"")</f>
        <v>L</v>
      </c>
      <c r="E294" s="3">
        <v>48</v>
      </c>
      <c r="F294" s="3" t="str">
        <f>IFERROR(MID(VLOOKUP($B294,Seqs!$A:$B,2,0),G294,1),"")</f>
        <v>H</v>
      </c>
      <c r="G294" s="3">
        <v>79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84</v>
      </c>
      <c r="N294" s="3" t="str">
        <f>IFERROR(MID(VLOOKUP($B294,Seqs!$A:$B,2,0),O294,1),"")</f>
        <v>L</v>
      </c>
      <c r="O294" s="3">
        <v>113</v>
      </c>
      <c r="P294" s="3" t="str">
        <f>IFERROR(MID(VLOOKUP($B294,Seqs!$A:$B,2,0),Q294,1),"")</f>
        <v>F</v>
      </c>
      <c r="Q294" s="3">
        <v>115</v>
      </c>
      <c r="R294" s="3" t="str">
        <f>IFERROR(MID(VLOOKUP($B294,Seqs!$A:$B,2,0),S294,1),"")</f>
        <v>F</v>
      </c>
      <c r="S294" s="3">
        <v>118</v>
      </c>
      <c r="T294" s="3" t="str">
        <f>IFERROR(MID(VLOOKUP($B294,Seqs!$A:$B,2,0),U294,1),"")</f>
        <v>G</v>
      </c>
      <c r="U294" s="3">
        <v>119</v>
      </c>
      <c r="V294" s="3" t="str">
        <f>IFERROR(MID(VLOOKUP($B294,Seqs!$A:$B,2,0),W294,1),"")</f>
        <v>H</v>
      </c>
      <c r="W294" s="3">
        <v>154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T</v>
      </c>
      <c r="AC294" s="9">
        <v>163</v>
      </c>
      <c r="AD294" s="3" t="str">
        <f>IFERROR(MID(VLOOKUP($B294,Seqs!$A:$B,2,0),AE294,1),"")</f>
        <v>G</v>
      </c>
      <c r="AE294" s="3">
        <v>189</v>
      </c>
      <c r="AF294" s="3" t="str">
        <f>IFERROR(MID(VLOOKUP($B294,Seqs!$A:$B,2,0),AG294,1),"")</f>
        <v>C</v>
      </c>
      <c r="AG294" s="3">
        <v>200</v>
      </c>
      <c r="AH294" s="3" t="str">
        <f>IFERROR(MID(VLOOKUP($B294,Seqs!$A:$B,2,0),AI294,1),"")</f>
        <v>V</v>
      </c>
      <c r="AI294" s="3">
        <v>202</v>
      </c>
      <c r="AJ294" s="3" t="str">
        <f>IFERROR(MID(VLOOKUP($B294,Seqs!$A:$B,2,0),AK294,1),"")</f>
        <v>Q</v>
      </c>
      <c r="AK294" s="3">
        <v>208</v>
      </c>
      <c r="AL294" s="3" t="str">
        <f>IFERROR(MID(VLOOKUP($B294,Seqs!$A:$B,2,0),AM294,1),"")</f>
        <v>L</v>
      </c>
      <c r="AM294" s="3">
        <v>242</v>
      </c>
      <c r="AN294" s="3" t="str">
        <f>IFERROR(MID(VLOOKUP($B294,Seqs!$A:$B,2,0),AO294,1),"")</f>
        <v>S</v>
      </c>
      <c r="AO294" s="3">
        <v>251</v>
      </c>
      <c r="AP294" s="3" t="str">
        <f>IFERROR(MID(VLOOKUP($B294,Seqs!$A:$B,2,0),AQ294,1),"")</f>
        <v>G</v>
      </c>
      <c r="AQ294" s="3">
        <v>289</v>
      </c>
      <c r="AR294" s="3" t="str">
        <f>IFERROR(MID(VLOOKUP($B294,Seqs!$A:$B,2,0),AS294,1),"")</f>
        <v>S</v>
      </c>
      <c r="AS294" s="3">
        <v>294</v>
      </c>
      <c r="AT294" s="3" t="str">
        <f>IFERROR(MID(VLOOKUP($B294,Seqs!$A:$B,2,0),AU294,1),"")</f>
        <v>L</v>
      </c>
      <c r="AU294" s="3">
        <v>322</v>
      </c>
      <c r="AV294" s="3" t="str">
        <f>IFERROR(MID(VLOOKUP($B294,Seqs!$A:$B,2,0),AW294,1),"")</f>
        <v>D</v>
      </c>
      <c r="AW294" s="3">
        <v>323</v>
      </c>
      <c r="AX294" s="3" t="str">
        <f>IFERROR(MID(VLOOKUP($B294,Seqs!$A:$B,2,0),AY294,1),"")</f>
        <v>F</v>
      </c>
      <c r="AY294" s="3">
        <v>333</v>
      </c>
      <c r="AZ294" s="77" t="str">
        <f>VLOOKUP(B294,Classification!A:D,2,0)</f>
        <v>A</v>
      </c>
      <c r="BA294" s="94" t="str">
        <f>VLOOKUP(B294,Classification!A:D,4,0)</f>
        <v>Opioid</v>
      </c>
      <c r="BB294" s="27" t="b">
        <f t="shared" si="1956"/>
        <v>1</v>
      </c>
      <c r="BC294" s="23">
        <f t="shared" si="1705"/>
        <v>248</v>
      </c>
      <c r="BD294" s="16" t="s">
        <v>1370</v>
      </c>
      <c r="BE294" s="3" t="s">
        <v>1368</v>
      </c>
      <c r="BF294" s="118">
        <v>3</v>
      </c>
      <c r="BG294" s="49" t="s">
        <v>1275</v>
      </c>
      <c r="BH294" s="49" t="s">
        <v>1371</v>
      </c>
      <c r="BI294" s="1"/>
      <c r="BJ294" s="70" t="s">
        <v>1281</v>
      </c>
      <c r="BK294" s="57" t="s">
        <v>1281</v>
      </c>
      <c r="BL294" s="57" t="s">
        <v>1281</v>
      </c>
      <c r="BM294" s="57" t="s">
        <v>1281</v>
      </c>
      <c r="BN294" s="57" t="s">
        <v>1281</v>
      </c>
      <c r="BO294" s="57" t="s">
        <v>1281</v>
      </c>
      <c r="BP294" s="57" t="s">
        <v>1281</v>
      </c>
      <c r="BQ294" s="57" t="s">
        <v>1281</v>
      </c>
      <c r="BR294" s="57" t="s">
        <v>1281</v>
      </c>
      <c r="BS294" s="57" t="s">
        <v>1281</v>
      </c>
      <c r="BT294" s="57" t="s">
        <v>1281</v>
      </c>
      <c r="BU294" s="57" t="s">
        <v>1281</v>
      </c>
      <c r="BV294" s="70">
        <f t="shared" si="1706"/>
        <v>48</v>
      </c>
      <c r="BW294" s="71" t="str">
        <f t="shared" si="1707"/>
        <v>-</v>
      </c>
      <c r="BX294" s="72">
        <f t="shared" si="1708"/>
        <v>84</v>
      </c>
      <c r="BY294" s="71">
        <f t="shared" si="1709"/>
        <v>115</v>
      </c>
      <c r="BZ294" s="72">
        <f t="shared" si="1710"/>
        <v>119</v>
      </c>
      <c r="CA294" s="71" t="str">
        <f t="shared" si="1711"/>
        <v>-</v>
      </c>
      <c r="CB294" s="72">
        <f t="shared" si="1712"/>
        <v>163</v>
      </c>
      <c r="CC294" s="71">
        <f t="shared" si="1713"/>
        <v>200</v>
      </c>
      <c r="CD294" s="72">
        <f t="shared" si="1714"/>
        <v>208</v>
      </c>
      <c r="CE294" s="71">
        <f t="shared" si="1715"/>
        <v>251</v>
      </c>
      <c r="CF294" s="72">
        <f t="shared" si="1716"/>
        <v>294</v>
      </c>
      <c r="CG294" s="71">
        <f t="shared" si="1717"/>
        <v>323</v>
      </c>
      <c r="CH294" s="70">
        <f t="shared" si="1718"/>
        <v>79</v>
      </c>
      <c r="CI294" s="71" t="str">
        <f t="shared" si="1719"/>
        <v>-</v>
      </c>
      <c r="CJ294" s="72">
        <f t="shared" si="1720"/>
        <v>113</v>
      </c>
      <c r="CK294" s="72">
        <f t="shared" si="1721"/>
        <v>118</v>
      </c>
      <c r="CL294" s="72">
        <f t="shared" si="1722"/>
        <v>154</v>
      </c>
      <c r="CM294" s="72" t="str">
        <f t="shared" si="1723"/>
        <v>-</v>
      </c>
      <c r="CN294" s="72">
        <f t="shared" si="1724"/>
        <v>189</v>
      </c>
      <c r="CO294" s="72">
        <f t="shared" si="1725"/>
        <v>202</v>
      </c>
      <c r="CP294" s="72">
        <f t="shared" si="1726"/>
        <v>242</v>
      </c>
      <c r="CQ294" s="72">
        <f t="shared" si="1727"/>
        <v>289</v>
      </c>
      <c r="CR294" s="72">
        <f t="shared" si="1728"/>
        <v>322</v>
      </c>
      <c r="CS294" s="72">
        <f t="shared" si="1729"/>
        <v>333</v>
      </c>
      <c r="CT294" s="23" t="e">
        <f t="shared" si="1730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1955"/>
        <v>oprx_human_5DHH</v>
      </c>
      <c r="B295" s="3" t="s">
        <v>1167</v>
      </c>
      <c r="C295" s="3" t="s">
        <v>1350</v>
      </c>
      <c r="D295" s="3" t="str">
        <f>IFERROR(MID(VLOOKUP($B295,Seqs!$A:$B,2,0),E295,1),"")</f>
        <v>L</v>
      </c>
      <c r="E295" s="3">
        <v>48</v>
      </c>
      <c r="F295" s="3" t="str">
        <f>IFERROR(MID(VLOOKUP($B295,Seqs!$A:$B,2,0),G295,1),"")</f>
        <v>H</v>
      </c>
      <c r="G295" s="3">
        <v>79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84</v>
      </c>
      <c r="N295" s="3" t="str">
        <f>IFERROR(MID(VLOOKUP($B295,Seqs!$A:$B,2,0),O295,1),"")</f>
        <v>L</v>
      </c>
      <c r="O295" s="3">
        <v>113</v>
      </c>
      <c r="P295" s="3" t="str">
        <f>IFERROR(MID(VLOOKUP($B295,Seqs!$A:$B,2,0),Q295,1),"")</f>
        <v>F</v>
      </c>
      <c r="Q295" s="3">
        <v>115</v>
      </c>
      <c r="R295" s="3" t="str">
        <f>IFERROR(MID(VLOOKUP($B295,Seqs!$A:$B,2,0),S295,1),"")</f>
        <v>F</v>
      </c>
      <c r="S295" s="3">
        <v>118</v>
      </c>
      <c r="T295" s="3" t="str">
        <f>IFERROR(MID(VLOOKUP($B295,Seqs!$A:$B,2,0),U295,1),"")</f>
        <v>G</v>
      </c>
      <c r="U295" s="3">
        <v>119</v>
      </c>
      <c r="V295" s="3" t="str">
        <f>IFERROR(MID(VLOOKUP($B295,Seqs!$A:$B,2,0),W295,1),"")</f>
        <v>H</v>
      </c>
      <c r="W295" s="3">
        <v>154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T</v>
      </c>
      <c r="AC295" s="9">
        <v>163</v>
      </c>
      <c r="AD295" s="3" t="str">
        <f>IFERROR(MID(VLOOKUP($B295,Seqs!$A:$B,2,0),AE295,1),"")</f>
        <v>G</v>
      </c>
      <c r="AE295" s="3">
        <v>189</v>
      </c>
      <c r="AF295" s="3" t="str">
        <f>IFERROR(MID(VLOOKUP($B295,Seqs!$A:$B,2,0),AG295,1),"")</f>
        <v>C</v>
      </c>
      <c r="AG295" s="3">
        <v>200</v>
      </c>
      <c r="AH295" s="3" t="str">
        <f>IFERROR(MID(VLOOKUP($B295,Seqs!$A:$B,2,0),AI295,1),"")</f>
        <v>V</v>
      </c>
      <c r="AI295" s="3">
        <v>202</v>
      </c>
      <c r="AJ295" s="3" t="str">
        <f>IFERROR(MID(VLOOKUP($B295,Seqs!$A:$B,2,0),AK295,1),"")</f>
        <v>Q</v>
      </c>
      <c r="AK295" s="3">
        <v>208</v>
      </c>
      <c r="AL295" s="3" t="str">
        <f>IFERROR(MID(VLOOKUP($B295,Seqs!$A:$B,2,0),AM295,1),"")</f>
        <v>L</v>
      </c>
      <c r="AM295" s="3">
        <v>242</v>
      </c>
      <c r="AN295" s="3" t="str">
        <f>IFERROR(MID(VLOOKUP($B295,Seqs!$A:$B,2,0),AO295,1),"")</f>
        <v>S</v>
      </c>
      <c r="AO295" s="3">
        <v>251</v>
      </c>
      <c r="AP295" s="3" t="str">
        <f>IFERROR(MID(VLOOKUP($B295,Seqs!$A:$B,2,0),AQ295,1),"")</f>
        <v>G</v>
      </c>
      <c r="AQ295" s="3">
        <v>289</v>
      </c>
      <c r="AR295" s="3" t="str">
        <f>IFERROR(MID(VLOOKUP($B295,Seqs!$A:$B,2,0),AS295,1),"")</f>
        <v>S</v>
      </c>
      <c r="AS295" s="3">
        <v>294</v>
      </c>
      <c r="AT295" s="3" t="str">
        <f>IFERROR(MID(VLOOKUP($B295,Seqs!$A:$B,2,0),AU295,1),"")</f>
        <v>L</v>
      </c>
      <c r="AU295" s="3">
        <v>322</v>
      </c>
      <c r="AV295" s="3" t="str">
        <f>IFERROR(MID(VLOOKUP($B295,Seqs!$A:$B,2,0),AW295,1),"")</f>
        <v>D</v>
      </c>
      <c r="AW295" s="3">
        <v>323</v>
      </c>
      <c r="AX295" s="3" t="str">
        <f>IFERROR(MID(VLOOKUP($B295,Seqs!$A:$B,2,0),AY295,1),"")</f>
        <v>R</v>
      </c>
      <c r="AY295" s="3">
        <v>331</v>
      </c>
      <c r="AZ295" s="77" t="str">
        <f>VLOOKUP(B295,Classification!A:D,2,0)</f>
        <v>A</v>
      </c>
      <c r="BA295" s="94" t="str">
        <f>VLOOKUP(B295,Classification!A:D,4,0)</f>
        <v>Opioid</v>
      </c>
      <c r="BB295" s="27" t="b">
        <f t="shared" si="1956"/>
        <v>1</v>
      </c>
      <c r="BC295" s="23">
        <f t="shared" si="1705"/>
        <v>246</v>
      </c>
      <c r="BD295" s="5" t="s">
        <v>23</v>
      </c>
      <c r="BE295" s="3" t="s">
        <v>1368</v>
      </c>
      <c r="BF295" s="118">
        <v>3</v>
      </c>
      <c r="BG295" s="49" t="s">
        <v>1</v>
      </c>
      <c r="BH295" s="49" t="s">
        <v>1371</v>
      </c>
      <c r="BI295" s="1" t="s">
        <v>1354</v>
      </c>
      <c r="BJ295" s="70" t="s">
        <v>1281</v>
      </c>
      <c r="BK295" s="57" t="s">
        <v>1281</v>
      </c>
      <c r="BL295" s="57" t="s">
        <v>1281</v>
      </c>
      <c r="BM295" s="57" t="s">
        <v>1281</v>
      </c>
      <c r="BN295" s="57" t="s">
        <v>1281</v>
      </c>
      <c r="BO295" s="57" t="s">
        <v>1281</v>
      </c>
      <c r="BP295" s="57" t="s">
        <v>1281</v>
      </c>
      <c r="BQ295" s="57" t="s">
        <v>1281</v>
      </c>
      <c r="BR295" s="57" t="s">
        <v>1281</v>
      </c>
      <c r="BS295" s="57" t="s">
        <v>1281</v>
      </c>
      <c r="BT295" s="57" t="s">
        <v>1281</v>
      </c>
      <c r="BU295" s="57" t="s">
        <v>1281</v>
      </c>
      <c r="BV295" s="70">
        <f t="shared" si="1706"/>
        <v>48</v>
      </c>
      <c r="BW295" s="71" t="str">
        <f t="shared" si="1707"/>
        <v>-</v>
      </c>
      <c r="BX295" s="72">
        <f t="shared" si="1708"/>
        <v>84</v>
      </c>
      <c r="BY295" s="71">
        <f t="shared" si="1709"/>
        <v>115</v>
      </c>
      <c r="BZ295" s="72">
        <f t="shared" si="1710"/>
        <v>119</v>
      </c>
      <c r="CA295" s="71" t="str">
        <f t="shared" si="1711"/>
        <v>-</v>
      </c>
      <c r="CB295" s="72">
        <f t="shared" si="1712"/>
        <v>163</v>
      </c>
      <c r="CC295" s="71">
        <f t="shared" si="1713"/>
        <v>200</v>
      </c>
      <c r="CD295" s="72">
        <f t="shared" si="1714"/>
        <v>208</v>
      </c>
      <c r="CE295" s="71">
        <f t="shared" si="1715"/>
        <v>251</v>
      </c>
      <c r="CF295" s="72">
        <f t="shared" si="1716"/>
        <v>294</v>
      </c>
      <c r="CG295" s="71">
        <f t="shared" si="1717"/>
        <v>323</v>
      </c>
      <c r="CH295" s="70">
        <f t="shared" si="1718"/>
        <v>79</v>
      </c>
      <c r="CI295" s="71" t="str">
        <f t="shared" si="1719"/>
        <v>-</v>
      </c>
      <c r="CJ295" s="72">
        <f t="shared" si="1720"/>
        <v>113</v>
      </c>
      <c r="CK295" s="72">
        <f t="shared" si="1721"/>
        <v>118</v>
      </c>
      <c r="CL295" s="72">
        <f t="shared" si="1722"/>
        <v>154</v>
      </c>
      <c r="CM295" s="72" t="str">
        <f t="shared" si="1723"/>
        <v>-</v>
      </c>
      <c r="CN295" s="72">
        <f t="shared" si="1724"/>
        <v>189</v>
      </c>
      <c r="CO295" s="72">
        <f t="shared" si="1725"/>
        <v>202</v>
      </c>
      <c r="CP295" s="72">
        <f t="shared" si="1726"/>
        <v>242</v>
      </c>
      <c r="CQ295" s="72">
        <f t="shared" si="1727"/>
        <v>289</v>
      </c>
      <c r="CR295" s="72">
        <f t="shared" si="1728"/>
        <v>322</v>
      </c>
      <c r="CS295" s="72">
        <f t="shared" si="1729"/>
        <v>331</v>
      </c>
      <c r="CT295" s="23" t="e">
        <f t="shared" si="1730"/>
        <v>#VALUE!</v>
      </c>
    </row>
    <row r="296" spans="1:1030" x14ac:dyDescent="0.2">
      <c r="A296" s="3" t="str">
        <f t="shared" si="1955"/>
        <v>opsd_bovin__wt</v>
      </c>
      <c r="B296" s="3" t="s">
        <v>913</v>
      </c>
      <c r="C296" s="3" t="s">
        <v>100</v>
      </c>
      <c r="D296" s="3" t="str">
        <f>IFERROR(MID(VLOOKUP($B296,Seqs!$A:$B,2,0),E296,1),"")</f>
        <v>E</v>
      </c>
      <c r="E296" s="105">
        <v>33</v>
      </c>
      <c r="F296" s="3" t="str">
        <f>IFERROR(MID(VLOOKUP($B296,Seqs!$A:$B,2,0),G296,1),"")</f>
        <v>H</v>
      </c>
      <c r="G296" s="3">
        <v>65</v>
      </c>
      <c r="H296" s="3" t="str">
        <f>IFERROR(MID(VLOOKUP($B296,Seqs!$A:$B,2,0),I296,1),"")</f>
        <v>K</v>
      </c>
      <c r="I296" s="23">
        <v>66</v>
      </c>
      <c r="J296" s="3" t="str">
        <f>IFERROR(MID(VLOOKUP($B296,Seqs!$A:$B,2,0),K296,1),"")</f>
        <v>R</v>
      </c>
      <c r="K296" s="23">
        <v>69</v>
      </c>
      <c r="L296" s="3" t="str">
        <f>IFERROR(MID(VLOOKUP($B296,Seqs!$A:$B,2,0),M296,1),"")</f>
        <v>T</v>
      </c>
      <c r="M296" s="3">
        <v>70</v>
      </c>
      <c r="N296" s="3" t="str">
        <f>IFERROR(MID(VLOOKUP($B296,Seqs!$A:$B,2,0),O296,1),"")</f>
        <v>H</v>
      </c>
      <c r="O296" s="3">
        <v>100</v>
      </c>
      <c r="P296" s="3" t="str">
        <f>IFERROR(MID(VLOOKUP($B296,Seqs!$A:$B,2,0),Q296,1),"")</f>
        <v>Y</v>
      </c>
      <c r="Q296" s="3">
        <v>102</v>
      </c>
      <c r="R296" s="3" t="str">
        <f>IFERROR(MID(VLOOKUP($B296,Seqs!$A:$B,2,0),S296,1),"")</f>
        <v>F</v>
      </c>
      <c r="S296" s="3">
        <v>105</v>
      </c>
      <c r="T296" s="3" t="str">
        <f>IFERROR(MID(VLOOKUP($B296,Seqs!$A:$B,2,0),U296,1),"")</f>
        <v>G</v>
      </c>
      <c r="U296" s="3">
        <v>106</v>
      </c>
      <c r="V296" s="3" t="str">
        <f>IFERROR(MID(VLOOKUP($B296,Seqs!$A:$B,2,0),W296,1),"")</f>
        <v>K</v>
      </c>
      <c r="W296" s="3">
        <v>141</v>
      </c>
      <c r="X296" s="3" t="str">
        <f>IFERROR(MID(VLOOKUP($B296,Seqs!$A:$B,2,0),Y296,1),"")</f>
        <v>P</v>
      </c>
      <c r="Y296" s="3">
        <v>142</v>
      </c>
      <c r="Z296" s="3" t="str">
        <f>IFERROR(MID(VLOOKUP($B296,Seqs!$A:$B,2,0),AA296,1),"")</f>
        <v>F</v>
      </c>
      <c r="AA296" s="105">
        <v>148</v>
      </c>
      <c r="AB296" s="3" t="str">
        <f>IFERROR(MID(VLOOKUP($B296,Seqs!$A:$B,2,0),AC296,1),"")</f>
        <v>G</v>
      </c>
      <c r="AC296" s="105">
        <v>149</v>
      </c>
      <c r="AD296" s="3" t="str">
        <f>IFERROR(MID(VLOOKUP($B296,Seqs!$A:$B,2,0),AE296,1),"")</f>
        <v>V</v>
      </c>
      <c r="AE296" s="3">
        <v>173</v>
      </c>
      <c r="AF296" s="3" t="str">
        <f>IFERROR(MID(VLOOKUP($B296,Seqs!$A:$B,2,0),AG296,1),"")</f>
        <v>C</v>
      </c>
      <c r="AG296" s="3">
        <v>187</v>
      </c>
      <c r="AH296" s="3" t="str">
        <f>IFERROR(MID(VLOOKUP($B296,Seqs!$A:$B,2,0),AI296,1),"")</f>
        <v>I</v>
      </c>
      <c r="AI296" s="3">
        <v>189</v>
      </c>
      <c r="AJ296" s="3" t="str">
        <f>IFERROR(MID(VLOOKUP($B296,Seqs!$A:$B,2,0),AK296,1),"")</f>
        <v>N</v>
      </c>
      <c r="AK296" s="3">
        <v>199</v>
      </c>
      <c r="AL296" s="3" t="str">
        <f>IFERROR(MID(VLOOKUP($B296,Seqs!$A:$B,2,0),AM296,1),"")</f>
        <v>Q</v>
      </c>
      <c r="AM296" s="3">
        <v>237</v>
      </c>
      <c r="AN296" s="3" t="str">
        <f>IFERROR(MID(VLOOKUP($B296,Seqs!$A:$B,2,0),AO296,1),"")</f>
        <v>S</v>
      </c>
      <c r="AO296" s="105">
        <v>240</v>
      </c>
      <c r="AP296" s="3" t="str">
        <f>IFERROR(MID(VLOOKUP($B296,Seqs!$A:$B,2,0),AQ296,1),"")</f>
        <v>H</v>
      </c>
      <c r="AQ296" s="3">
        <v>278</v>
      </c>
      <c r="AR296" s="3" t="str">
        <f>IFERROR(MID(VLOOKUP($B296,Seqs!$A:$B,2,0),AS296,1),"")</f>
        <v>G</v>
      </c>
      <c r="AS296" s="3">
        <v>284</v>
      </c>
      <c r="AT296" s="3" t="str">
        <f>IFERROR(MID(VLOOKUP($B296,Seqs!$A:$B,2,0),AU296,1),"")</f>
        <v>M</v>
      </c>
      <c r="AU296" s="3">
        <v>309</v>
      </c>
      <c r="AV296" s="3" t="str">
        <f>IFERROR(MID(VLOOKUP($B296,Seqs!$A:$B,2,0),AW296,1),"")</f>
        <v>N</v>
      </c>
      <c r="AW296" s="3">
        <v>310</v>
      </c>
      <c r="AX296" s="3" t="str">
        <f>IFERROR(MID(VLOOKUP($B296,Seqs!$A:$B,2,0),AY296,1),"")</f>
        <v>C</v>
      </c>
      <c r="AY296" s="3">
        <v>322</v>
      </c>
      <c r="AZ296" s="77" t="str">
        <f>VLOOKUP(B296,Classification!A:D,2,0)</f>
        <v>A</v>
      </c>
      <c r="BA296" s="94" t="str">
        <f>VLOOKUP(B296,Classification!A:D,4,0)</f>
        <v>Opsins</v>
      </c>
      <c r="BB296" s="27" t="b">
        <f t="shared" si="1956"/>
        <v>1</v>
      </c>
      <c r="BC296" s="23">
        <f t="shared" si="1705"/>
        <v>260</v>
      </c>
      <c r="BD296" s="34" t="s">
        <v>23</v>
      </c>
      <c r="BE296" s="3" t="s">
        <v>23</v>
      </c>
      <c r="BF296" s="118" t="s">
        <v>23</v>
      </c>
      <c r="BG296" s="49" t="s">
        <v>1366</v>
      </c>
      <c r="BH296" s="49" t="s">
        <v>1371</v>
      </c>
      <c r="BI296" s="1"/>
      <c r="BJ296" s="70" t="s">
        <v>1281</v>
      </c>
      <c r="BK296" s="57" t="s">
        <v>1281</v>
      </c>
      <c r="BL296" s="57" t="s">
        <v>1281</v>
      </c>
      <c r="BM296" s="57" t="s">
        <v>1281</v>
      </c>
      <c r="BN296" s="57" t="s">
        <v>1281</v>
      </c>
      <c r="BO296" s="57" t="s">
        <v>1281</v>
      </c>
      <c r="BP296" s="57" t="s">
        <v>1281</v>
      </c>
      <c r="BQ296" s="57" t="s">
        <v>1281</v>
      </c>
      <c r="BR296" s="57" t="s">
        <v>1281</v>
      </c>
      <c r="BS296" s="57" t="s">
        <v>1281</v>
      </c>
      <c r="BT296" s="57" t="s">
        <v>1281</v>
      </c>
      <c r="BU296" s="57" t="s">
        <v>1281</v>
      </c>
      <c r="BV296" s="70">
        <f t="shared" si="1706"/>
        <v>33</v>
      </c>
      <c r="BW296" s="71">
        <f t="shared" si="1707"/>
        <v>66</v>
      </c>
      <c r="BX296" s="72">
        <f t="shared" si="1708"/>
        <v>70</v>
      </c>
      <c r="BY296" s="71">
        <f t="shared" si="1709"/>
        <v>102</v>
      </c>
      <c r="BZ296" s="72">
        <f t="shared" si="1710"/>
        <v>106</v>
      </c>
      <c r="CA296" s="71">
        <f t="shared" si="1711"/>
        <v>142</v>
      </c>
      <c r="CB296" s="72">
        <f t="shared" si="1712"/>
        <v>149</v>
      </c>
      <c r="CC296" s="71">
        <f t="shared" si="1713"/>
        <v>187</v>
      </c>
      <c r="CD296" s="72">
        <f t="shared" si="1714"/>
        <v>199</v>
      </c>
      <c r="CE296" s="71">
        <f t="shared" si="1715"/>
        <v>240</v>
      </c>
      <c r="CF296" s="72">
        <f t="shared" si="1716"/>
        <v>284</v>
      </c>
      <c r="CG296" s="71">
        <f t="shared" si="1717"/>
        <v>310</v>
      </c>
      <c r="CH296" s="70">
        <f t="shared" si="1718"/>
        <v>65</v>
      </c>
      <c r="CI296" s="71">
        <f t="shared" si="1719"/>
        <v>69</v>
      </c>
      <c r="CJ296" s="72">
        <f t="shared" si="1720"/>
        <v>100</v>
      </c>
      <c r="CK296" s="72">
        <f t="shared" si="1721"/>
        <v>105</v>
      </c>
      <c r="CL296" s="72">
        <f t="shared" si="1722"/>
        <v>141</v>
      </c>
      <c r="CM296" s="72">
        <f t="shared" si="1723"/>
        <v>148</v>
      </c>
      <c r="CN296" s="72">
        <f t="shared" si="1724"/>
        <v>173</v>
      </c>
      <c r="CO296" s="72">
        <f t="shared" si="1725"/>
        <v>189</v>
      </c>
      <c r="CP296" s="72">
        <f t="shared" si="1726"/>
        <v>237</v>
      </c>
      <c r="CQ296" s="72">
        <f t="shared" si="1727"/>
        <v>278</v>
      </c>
      <c r="CR296" s="72">
        <f t="shared" si="1728"/>
        <v>309</v>
      </c>
      <c r="CS296" s="72">
        <f t="shared" si="1729"/>
        <v>322</v>
      </c>
      <c r="CT296" s="23">
        <f t="shared" si="1730"/>
        <v>1</v>
      </c>
    </row>
    <row r="297" spans="1:1030" x14ac:dyDescent="0.2">
      <c r="A297" s="3" t="str">
        <f t="shared" si="1955"/>
        <v>opsd_bovin_1GZM</v>
      </c>
      <c r="B297" s="3" t="s">
        <v>913</v>
      </c>
      <c r="C297" s="3" t="s">
        <v>1331</v>
      </c>
      <c r="D297" s="3" t="str">
        <f>IFERROR(MID(VLOOKUP($B297,Seqs!$A:$B,2,0),E297,1),"")</f>
        <v>E</v>
      </c>
      <c r="E297" s="105">
        <v>33</v>
      </c>
      <c r="F297" s="3" t="str">
        <f>IFERROR(MID(VLOOKUP($B297,Seqs!$A:$B,2,0),G297,1),"")</f>
        <v>H</v>
      </c>
      <c r="G297" s="3">
        <v>65</v>
      </c>
      <c r="H297" s="3" t="str">
        <f>IFERROR(MID(VLOOKUP($B297,Seqs!$A:$B,2,0),I297,1),"")</f>
        <v>K</v>
      </c>
      <c r="I297" s="23">
        <v>66</v>
      </c>
      <c r="J297" s="3" t="str">
        <f>IFERROR(MID(VLOOKUP($B297,Seqs!$A:$B,2,0),K297,1),"")</f>
        <v>R</v>
      </c>
      <c r="K297" s="23">
        <v>69</v>
      </c>
      <c r="L297" s="3" t="str">
        <f>IFERROR(MID(VLOOKUP($B297,Seqs!$A:$B,2,0),M297,1),"")</f>
        <v>T</v>
      </c>
      <c r="M297" s="3">
        <v>70</v>
      </c>
      <c r="N297" s="3" t="str">
        <f>IFERROR(MID(VLOOKUP($B297,Seqs!$A:$B,2,0),O297,1),"")</f>
        <v>H</v>
      </c>
      <c r="O297" s="3">
        <v>100</v>
      </c>
      <c r="P297" s="3" t="str">
        <f>IFERROR(MID(VLOOKUP($B297,Seqs!$A:$B,2,0),Q297,1),"")</f>
        <v>Y</v>
      </c>
      <c r="Q297" s="3">
        <v>102</v>
      </c>
      <c r="R297" s="3" t="str">
        <f>IFERROR(MID(VLOOKUP($B297,Seqs!$A:$B,2,0),S297,1),"")</f>
        <v>F</v>
      </c>
      <c r="S297" s="3">
        <v>105</v>
      </c>
      <c r="T297" s="3" t="str">
        <f>IFERROR(MID(VLOOKUP($B297,Seqs!$A:$B,2,0),U297,1),"")</f>
        <v>G</v>
      </c>
      <c r="U297" s="3">
        <v>106</v>
      </c>
      <c r="V297" s="3" t="str">
        <f>IFERROR(MID(VLOOKUP($B297,Seqs!$A:$B,2,0),W297,1),"")</f>
        <v>K</v>
      </c>
      <c r="W297" s="3">
        <v>141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G</v>
      </c>
      <c r="AC297" s="9">
        <v>149</v>
      </c>
      <c r="AD297" s="3" t="str">
        <f>IFERROR(MID(VLOOKUP($B297,Seqs!$A:$B,2,0),AE297,1),"")</f>
        <v>V</v>
      </c>
      <c r="AE297" s="3">
        <v>173</v>
      </c>
      <c r="AF297" s="3" t="str">
        <f>IFERROR(MID(VLOOKUP($B297,Seqs!$A:$B,2,0),AG297,1),"")</f>
        <v>C</v>
      </c>
      <c r="AG297" s="3">
        <v>187</v>
      </c>
      <c r="AH297" s="3" t="str">
        <f>IFERROR(MID(VLOOKUP($B297,Seqs!$A:$B,2,0),AI297,1),"")</f>
        <v>I</v>
      </c>
      <c r="AI297" s="3">
        <v>189</v>
      </c>
      <c r="AJ297" s="3" t="str">
        <f>IFERROR(MID(VLOOKUP($B297,Seqs!$A:$B,2,0),AK297,1),"")</f>
        <v>N</v>
      </c>
      <c r="AK297" s="3">
        <v>199</v>
      </c>
      <c r="AL297" s="3" t="str">
        <f>IFERROR(MID(VLOOKUP($B297,Seqs!$A:$B,2,0),AM297,1),"")</f>
        <v>A</v>
      </c>
      <c r="AM297" s="3">
        <v>233</v>
      </c>
      <c r="AN297" s="3" t="str">
        <f>IFERROR(MID(VLOOKUP($B297,Seqs!$A:$B,2,0),AO297,1),"")</f>
        <v>A</v>
      </c>
      <c r="AO297" s="3">
        <v>241</v>
      </c>
      <c r="AP297" s="3" t="str">
        <f>IFERROR(MID(VLOOKUP($B297,Seqs!$A:$B,2,0),AQ297,1),"")</f>
        <v>H</v>
      </c>
      <c r="AQ297" s="3">
        <v>278</v>
      </c>
      <c r="AR297" s="3" t="str">
        <f>IFERROR(MID(VLOOKUP($B297,Seqs!$A:$B,2,0),AS297,1),"")</f>
        <v>G</v>
      </c>
      <c r="AS297" s="3">
        <v>284</v>
      </c>
      <c r="AT297" s="3" t="str">
        <f>IFERROR(MID(VLOOKUP($B297,Seqs!$A:$B,2,0),AU297,1),"")</f>
        <v>M</v>
      </c>
      <c r="AU297" s="3">
        <v>309</v>
      </c>
      <c r="AV297" s="3" t="str">
        <f>IFERROR(MID(VLOOKUP($B297,Seqs!$A:$B,2,0),AW297,1),"")</f>
        <v>N</v>
      </c>
      <c r="AW297" s="3">
        <v>310</v>
      </c>
      <c r="AX297" s="3" t="str">
        <f>IFERROR(MID(VLOOKUP($B297,Seqs!$A:$B,2,0),AY297,1),"")</f>
        <v>C</v>
      </c>
      <c r="AY297" s="3">
        <v>322</v>
      </c>
      <c r="AZ297" s="77" t="str">
        <f>VLOOKUP(B297,Classification!A:D,2,0)</f>
        <v>A</v>
      </c>
      <c r="BA297" s="94" t="str">
        <f>VLOOKUP(B297,Classification!A:D,4,0)</f>
        <v>Opsins</v>
      </c>
      <c r="BB297" s="27" t="b">
        <f t="shared" si="1956"/>
        <v>1</v>
      </c>
      <c r="BC297" s="23">
        <f t="shared" si="1705"/>
        <v>249</v>
      </c>
      <c r="BD297" s="56" t="s">
        <v>1370</v>
      </c>
      <c r="BE297" s="3" t="s">
        <v>1368</v>
      </c>
      <c r="BF297" s="118">
        <v>2.65</v>
      </c>
      <c r="BG297" s="49" t="s">
        <v>1371</v>
      </c>
      <c r="BH297" s="49" t="s">
        <v>1371</v>
      </c>
      <c r="BI297" s="1"/>
      <c r="BJ297" s="70" t="s">
        <v>1281</v>
      </c>
      <c r="BK297" s="57" t="s">
        <v>1281</v>
      </c>
      <c r="BL297" s="57" t="s">
        <v>1281</v>
      </c>
      <c r="BM297" s="57" t="s">
        <v>1281</v>
      </c>
      <c r="BN297" s="57" t="s">
        <v>1281</v>
      </c>
      <c r="BO297" s="57" t="s">
        <v>1281</v>
      </c>
      <c r="BP297" s="57" t="s">
        <v>1281</v>
      </c>
      <c r="BQ297" s="57" t="s">
        <v>1281</v>
      </c>
      <c r="BR297" s="57" t="s">
        <v>1281</v>
      </c>
      <c r="BS297" s="57" t="s">
        <v>1281</v>
      </c>
      <c r="BT297" s="57" t="s">
        <v>1281</v>
      </c>
      <c r="BU297" s="57" t="s">
        <v>1281</v>
      </c>
      <c r="BV297" s="70">
        <f t="shared" si="1706"/>
        <v>33</v>
      </c>
      <c r="BW297" s="71">
        <f t="shared" si="1707"/>
        <v>66</v>
      </c>
      <c r="BX297" s="72">
        <f t="shared" si="1708"/>
        <v>70</v>
      </c>
      <c r="BY297" s="71">
        <f t="shared" si="1709"/>
        <v>102</v>
      </c>
      <c r="BZ297" s="72">
        <f t="shared" si="1710"/>
        <v>106</v>
      </c>
      <c r="CA297" s="71" t="str">
        <f t="shared" si="1711"/>
        <v>-</v>
      </c>
      <c r="CB297" s="72">
        <f t="shared" si="1712"/>
        <v>149</v>
      </c>
      <c r="CC297" s="71">
        <f t="shared" si="1713"/>
        <v>187</v>
      </c>
      <c r="CD297" s="72">
        <f t="shared" si="1714"/>
        <v>199</v>
      </c>
      <c r="CE297" s="71">
        <f t="shared" si="1715"/>
        <v>241</v>
      </c>
      <c r="CF297" s="72">
        <f t="shared" si="1716"/>
        <v>284</v>
      </c>
      <c r="CG297" s="71">
        <f t="shared" si="1717"/>
        <v>310</v>
      </c>
      <c r="CH297" s="70">
        <f t="shared" si="1718"/>
        <v>65</v>
      </c>
      <c r="CI297" s="71">
        <f t="shared" si="1719"/>
        <v>69</v>
      </c>
      <c r="CJ297" s="72">
        <f t="shared" si="1720"/>
        <v>100</v>
      </c>
      <c r="CK297" s="72">
        <f t="shared" si="1721"/>
        <v>105</v>
      </c>
      <c r="CL297" s="72">
        <f t="shared" si="1722"/>
        <v>141</v>
      </c>
      <c r="CM297" s="72" t="str">
        <f t="shared" si="1723"/>
        <v>-</v>
      </c>
      <c r="CN297" s="72">
        <f t="shared" si="1724"/>
        <v>173</v>
      </c>
      <c r="CO297" s="72">
        <f t="shared" si="1725"/>
        <v>189</v>
      </c>
      <c r="CP297" s="72">
        <f t="shared" si="1726"/>
        <v>233</v>
      </c>
      <c r="CQ297" s="72">
        <f t="shared" si="1727"/>
        <v>278</v>
      </c>
      <c r="CR297" s="72">
        <f t="shared" si="1728"/>
        <v>309</v>
      </c>
      <c r="CS297" s="72">
        <f t="shared" si="1729"/>
        <v>322</v>
      </c>
      <c r="CT297" s="23">
        <f t="shared" si="1730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1955"/>
        <v>opsd_bovin_1U19</v>
      </c>
      <c r="B298" s="3" t="s">
        <v>913</v>
      </c>
      <c r="C298" s="3" t="s">
        <v>53</v>
      </c>
      <c r="D298" s="3" t="str">
        <f>IFERROR(MID(VLOOKUP($B298,Seqs!$A:$B,2,0),E298,1),"")</f>
        <v>E</v>
      </c>
      <c r="E298" s="105">
        <v>33</v>
      </c>
      <c r="F298" s="3" t="str">
        <f>IFERROR(MID(VLOOKUP($B298,Seqs!$A:$B,2,0),G298,1),"")</f>
        <v>H</v>
      </c>
      <c r="G298" s="3">
        <v>65</v>
      </c>
      <c r="H298" s="3" t="str">
        <f>IFERROR(MID(VLOOKUP($B298,Seqs!$A:$B,2,0),I298,1),"")</f>
        <v>K</v>
      </c>
      <c r="I298" s="23">
        <v>66</v>
      </c>
      <c r="J298" s="3" t="str">
        <f>IFERROR(MID(VLOOKUP($B298,Seqs!$A:$B,2,0),K298,1),"")</f>
        <v>R</v>
      </c>
      <c r="K298" s="23">
        <v>69</v>
      </c>
      <c r="L298" s="3" t="str">
        <f>IFERROR(MID(VLOOKUP($B298,Seqs!$A:$B,2,0),M298,1),"")</f>
        <v>T</v>
      </c>
      <c r="M298" s="3">
        <v>70</v>
      </c>
      <c r="N298" s="3" t="str">
        <f>IFERROR(MID(VLOOKUP($B298,Seqs!$A:$B,2,0),O298,1),"")</f>
        <v>H</v>
      </c>
      <c r="O298" s="3">
        <v>100</v>
      </c>
      <c r="P298" s="3" t="str">
        <f>IFERROR(MID(VLOOKUP($B298,Seqs!$A:$B,2,0),Q298,1),"")</f>
        <v>Y</v>
      </c>
      <c r="Q298" s="3">
        <v>102</v>
      </c>
      <c r="R298" s="3" t="str">
        <f>IFERROR(MID(VLOOKUP($B298,Seqs!$A:$B,2,0),S298,1),"")</f>
        <v>F</v>
      </c>
      <c r="S298" s="3">
        <v>105</v>
      </c>
      <c r="T298" s="3" t="str">
        <f>IFERROR(MID(VLOOKUP($B298,Seqs!$A:$B,2,0),U298,1),"")</f>
        <v>G</v>
      </c>
      <c r="U298" s="3">
        <v>106</v>
      </c>
      <c r="V298" s="3" t="str">
        <f>IFERROR(MID(VLOOKUP($B298,Seqs!$A:$B,2,0),W298,1),"")</f>
        <v>K</v>
      </c>
      <c r="W298" s="3">
        <v>141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G</v>
      </c>
      <c r="AC298" s="9">
        <v>149</v>
      </c>
      <c r="AD298" s="3" t="str">
        <f>IFERROR(MID(VLOOKUP($B298,Seqs!$A:$B,2,0),AE298,1),"")</f>
        <v>V</v>
      </c>
      <c r="AE298" s="3">
        <v>173</v>
      </c>
      <c r="AF298" s="3" t="str">
        <f>IFERROR(MID(VLOOKUP($B298,Seqs!$A:$B,2,0),AG298,1),"")</f>
        <v>C</v>
      </c>
      <c r="AG298" s="3">
        <v>187</v>
      </c>
      <c r="AH298" s="3" t="str">
        <f>IFERROR(MID(VLOOKUP($B298,Seqs!$A:$B,2,0),AI298,1),"")</f>
        <v>I</v>
      </c>
      <c r="AI298" s="3">
        <v>189</v>
      </c>
      <c r="AJ298" s="3" t="str">
        <f>IFERROR(MID(VLOOKUP($B298,Seqs!$A:$B,2,0),AK298,1),"")</f>
        <v>N</v>
      </c>
      <c r="AK298" s="3">
        <v>199</v>
      </c>
      <c r="AL298" s="3" t="str">
        <f>IFERROR(MID(VLOOKUP($B298,Seqs!$A:$B,2,0),AM298,1),"")</f>
        <v>Q</v>
      </c>
      <c r="AM298" s="3">
        <v>225</v>
      </c>
      <c r="AN298" s="3" t="str">
        <f>IFERROR(MID(VLOOKUP($B298,Seqs!$A:$B,2,0),AO298,1),"")</f>
        <v>T</v>
      </c>
      <c r="AO298" s="3">
        <v>243</v>
      </c>
      <c r="AP298" s="3" t="str">
        <f>IFERROR(MID(VLOOKUP($B298,Seqs!$A:$B,2,0),AQ298,1),"")</f>
        <v>H</v>
      </c>
      <c r="AQ298" s="3">
        <v>278</v>
      </c>
      <c r="AR298" s="3" t="str">
        <f>IFERROR(MID(VLOOKUP($B298,Seqs!$A:$B,2,0),AS298,1),"")</f>
        <v>G</v>
      </c>
      <c r="AS298" s="3">
        <v>284</v>
      </c>
      <c r="AT298" s="3" t="str">
        <f>IFERROR(MID(VLOOKUP($B298,Seqs!$A:$B,2,0),AU298,1),"")</f>
        <v>M</v>
      </c>
      <c r="AU298" s="3">
        <v>309</v>
      </c>
      <c r="AV298" s="3" t="str">
        <f>IFERROR(MID(VLOOKUP($B298,Seqs!$A:$B,2,0),AW298,1),"")</f>
        <v>N</v>
      </c>
      <c r="AW298" s="3">
        <v>310</v>
      </c>
      <c r="AX298" s="3" t="str">
        <f>IFERROR(MID(VLOOKUP($B298,Seqs!$A:$B,2,0),AY298,1),"")</f>
        <v>C</v>
      </c>
      <c r="AY298" s="3">
        <v>322</v>
      </c>
      <c r="AZ298" s="77" t="str">
        <f>VLOOKUP(B298,Classification!A:D,2,0)</f>
        <v>A</v>
      </c>
      <c r="BA298" s="94" t="str">
        <f>VLOOKUP(B298,Classification!A:D,4,0)</f>
        <v>Opsins</v>
      </c>
      <c r="BB298" s="27" t="b">
        <f t="shared" si="1956"/>
        <v>1</v>
      </c>
      <c r="BC298" s="23">
        <f t="shared" si="1705"/>
        <v>239</v>
      </c>
      <c r="BD298" s="74" t="s">
        <v>23</v>
      </c>
      <c r="BE298" s="3" t="s">
        <v>1368</v>
      </c>
      <c r="BF298" s="118">
        <v>2.2000000000000002</v>
      </c>
      <c r="BG298" s="49" t="s">
        <v>1</v>
      </c>
      <c r="BH298" s="49" t="s">
        <v>1371</v>
      </c>
      <c r="BI298" s="1"/>
      <c r="BJ298" s="70" t="s">
        <v>1281</v>
      </c>
      <c r="BK298" s="57" t="s">
        <v>1281</v>
      </c>
      <c r="BL298" s="57" t="s">
        <v>1281</v>
      </c>
      <c r="BM298" s="57" t="s">
        <v>1281</v>
      </c>
      <c r="BN298" s="57" t="s">
        <v>1281</v>
      </c>
      <c r="BO298" s="57" t="s">
        <v>1281</v>
      </c>
      <c r="BP298" s="57" t="s">
        <v>1281</v>
      </c>
      <c r="BQ298" s="57" t="s">
        <v>1281</v>
      </c>
      <c r="BR298" s="57" t="s">
        <v>1281</v>
      </c>
      <c r="BS298" s="57" t="s">
        <v>1281</v>
      </c>
      <c r="BT298" s="57" t="s">
        <v>1281</v>
      </c>
      <c r="BU298" s="57" t="s">
        <v>1281</v>
      </c>
      <c r="BV298" s="70">
        <f t="shared" si="1706"/>
        <v>33</v>
      </c>
      <c r="BW298" s="71">
        <f t="shared" si="1707"/>
        <v>66</v>
      </c>
      <c r="BX298" s="72">
        <f t="shared" si="1708"/>
        <v>70</v>
      </c>
      <c r="BY298" s="71">
        <f t="shared" si="1709"/>
        <v>102</v>
      </c>
      <c r="BZ298" s="72">
        <f t="shared" si="1710"/>
        <v>106</v>
      </c>
      <c r="CA298" s="71" t="str">
        <f t="shared" si="1711"/>
        <v>-</v>
      </c>
      <c r="CB298" s="72">
        <f t="shared" si="1712"/>
        <v>149</v>
      </c>
      <c r="CC298" s="71">
        <f t="shared" si="1713"/>
        <v>187</v>
      </c>
      <c r="CD298" s="72">
        <f t="shared" si="1714"/>
        <v>199</v>
      </c>
      <c r="CE298" s="71">
        <f t="shared" si="1715"/>
        <v>243</v>
      </c>
      <c r="CF298" s="72">
        <f t="shared" si="1716"/>
        <v>284</v>
      </c>
      <c r="CG298" s="71">
        <f t="shared" si="1717"/>
        <v>310</v>
      </c>
      <c r="CH298" s="70">
        <f t="shared" si="1718"/>
        <v>65</v>
      </c>
      <c r="CI298" s="71">
        <f t="shared" si="1719"/>
        <v>69</v>
      </c>
      <c r="CJ298" s="72">
        <f t="shared" si="1720"/>
        <v>100</v>
      </c>
      <c r="CK298" s="72">
        <f t="shared" si="1721"/>
        <v>105</v>
      </c>
      <c r="CL298" s="72">
        <f t="shared" si="1722"/>
        <v>141</v>
      </c>
      <c r="CM298" s="72" t="str">
        <f t="shared" si="1723"/>
        <v>-</v>
      </c>
      <c r="CN298" s="72">
        <f t="shared" si="1724"/>
        <v>173</v>
      </c>
      <c r="CO298" s="72">
        <f t="shared" si="1725"/>
        <v>189</v>
      </c>
      <c r="CP298" s="72">
        <f t="shared" si="1726"/>
        <v>225</v>
      </c>
      <c r="CQ298" s="72">
        <f t="shared" si="1727"/>
        <v>278</v>
      </c>
      <c r="CR298" s="72">
        <f t="shared" si="1728"/>
        <v>309</v>
      </c>
      <c r="CS298" s="72">
        <f t="shared" si="1729"/>
        <v>322</v>
      </c>
      <c r="CT298" s="23">
        <f t="shared" si="1730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1955"/>
        <v>opsd_bovin_2X72</v>
      </c>
      <c r="B299" s="2" t="s">
        <v>913</v>
      </c>
      <c r="C299" s="3" t="s">
        <v>1363</v>
      </c>
      <c r="D299" s="3" t="str">
        <f>IFERROR(MID(VLOOKUP($B299,Seqs!$A:$B,2,0),E299,1),"")</f>
        <v>E</v>
      </c>
      <c r="E299" s="105">
        <v>33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V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253</v>
      </c>
      <c r="BD299" s="56" t="s">
        <v>23</v>
      </c>
      <c r="BE299" s="3" t="s">
        <v>1285</v>
      </c>
      <c r="BF299" s="118">
        <v>3</v>
      </c>
      <c r="BG299" s="49" t="s">
        <v>1371</v>
      </c>
      <c r="BH299" s="49" t="s">
        <v>1371</v>
      </c>
      <c r="BI299" s="1"/>
      <c r="BJ299" s="70" t="s">
        <v>1281</v>
      </c>
      <c r="BK299" s="57" t="s">
        <v>1281</v>
      </c>
      <c r="BL299" s="57" t="s">
        <v>1281</v>
      </c>
      <c r="BM299" s="57" t="s">
        <v>1281</v>
      </c>
      <c r="BN299" s="57" t="s">
        <v>1281</v>
      </c>
      <c r="BO299" s="57" t="s">
        <v>1281</v>
      </c>
      <c r="BP299" s="57" t="s">
        <v>1281</v>
      </c>
      <c r="BQ299" s="57" t="s">
        <v>1281</v>
      </c>
      <c r="BR299" s="57" t="s">
        <v>1281</v>
      </c>
      <c r="BS299" s="57" t="s">
        <v>1281</v>
      </c>
      <c r="BT299" s="57" t="s">
        <v>1281</v>
      </c>
      <c r="BU299" s="57" t="s">
        <v>1281</v>
      </c>
      <c r="BV299" s="70">
        <f>E299</f>
        <v>33</v>
      </c>
      <c r="BW299" s="71">
        <f>I299</f>
        <v>66</v>
      </c>
      <c r="BX299" s="72">
        <f>M299</f>
        <v>70</v>
      </c>
      <c r="BY299" s="71">
        <f>Q299</f>
        <v>102</v>
      </c>
      <c r="BZ299" s="72">
        <f>U299</f>
        <v>106</v>
      </c>
      <c r="CA299" s="71" t="str">
        <f>Y299</f>
        <v>-</v>
      </c>
      <c r="CB299" s="72">
        <f>AC299</f>
        <v>149</v>
      </c>
      <c r="CC299" s="71">
        <f>AG299</f>
        <v>187</v>
      </c>
      <c r="CD299" s="72">
        <f>AK299</f>
        <v>199</v>
      </c>
      <c r="CE299" s="71">
        <f>AO299</f>
        <v>241</v>
      </c>
      <c r="CF299" s="72">
        <f>AS299</f>
        <v>284</v>
      </c>
      <c r="CG299" s="71">
        <f>AW299</f>
        <v>310</v>
      </c>
      <c r="CH299" s="70">
        <f>G299</f>
        <v>65</v>
      </c>
      <c r="CI299" s="71">
        <f>K299</f>
        <v>69</v>
      </c>
      <c r="CJ299" s="72">
        <f>O299</f>
        <v>100</v>
      </c>
      <c r="CK299" s="72">
        <f>S299</f>
        <v>105</v>
      </c>
      <c r="CL299" s="72">
        <f>W299</f>
        <v>141</v>
      </c>
      <c r="CM299" s="72" t="str">
        <f>AA299</f>
        <v>-</v>
      </c>
      <c r="CN299" s="72">
        <f>AE299</f>
        <v>173</v>
      </c>
      <c r="CO299" s="72">
        <f>AI299</f>
        <v>189</v>
      </c>
      <c r="CP299" s="72">
        <f>AM299</f>
        <v>237</v>
      </c>
      <c r="CQ299" s="72">
        <f>AQ299</f>
        <v>278</v>
      </c>
      <c r="CR299" s="72">
        <f>AU299</f>
        <v>309</v>
      </c>
      <c r="CS299" s="72">
        <f>AY299</f>
        <v>322</v>
      </c>
      <c r="CT299" s="23">
        <f>M299-K299</f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955"/>
        <v>opsd_bovin_3DQB</v>
      </c>
      <c r="B300" s="3" t="s">
        <v>913</v>
      </c>
      <c r="C300" s="3" t="s">
        <v>54</v>
      </c>
      <c r="D300" s="3" t="str">
        <f>IFERROR(MID(VLOOKUP($B300,Seqs!$A:$B,2,0),E300,1),"")</f>
        <v>E</v>
      </c>
      <c r="E300" s="105">
        <v>33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V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956"/>
        <v>1</v>
      </c>
      <c r="BC300" s="23">
        <f>_xlfn.AGGREGATE(9,6,CH300:CS300)-_xlfn.AGGREGATE(9,6,BV300:CG300)+12</f>
        <v>253</v>
      </c>
      <c r="BD300" s="74" t="s">
        <v>23</v>
      </c>
      <c r="BE300" s="3" t="s">
        <v>1285</v>
      </c>
      <c r="BF300" s="118">
        <v>3.2</v>
      </c>
      <c r="BG300" s="49" t="s">
        <v>1371</v>
      </c>
      <c r="BH300" s="49" t="s">
        <v>1371</v>
      </c>
      <c r="BI300" s="1"/>
      <c r="BJ300" s="70" t="s">
        <v>1281</v>
      </c>
      <c r="BK300" s="57" t="s">
        <v>1281</v>
      </c>
      <c r="BL300" s="57" t="s">
        <v>1281</v>
      </c>
      <c r="BM300" s="57" t="s">
        <v>1281</v>
      </c>
      <c r="BN300" s="57" t="s">
        <v>1281</v>
      </c>
      <c r="BO300" s="57" t="s">
        <v>1281</v>
      </c>
      <c r="BP300" s="57" t="s">
        <v>1281</v>
      </c>
      <c r="BQ300" s="57" t="s">
        <v>1281</v>
      </c>
      <c r="BR300" s="57" t="s">
        <v>1281</v>
      </c>
      <c r="BS300" s="57" t="s">
        <v>1281</v>
      </c>
      <c r="BT300" s="57" t="s">
        <v>1281</v>
      </c>
      <c r="BU300" s="57" t="s">
        <v>1281</v>
      </c>
      <c r="BV300" s="70">
        <f>E300</f>
        <v>33</v>
      </c>
      <c r="BW300" s="71">
        <f>I300</f>
        <v>66</v>
      </c>
      <c r="BX300" s="72">
        <f>M300</f>
        <v>70</v>
      </c>
      <c r="BY300" s="71">
        <f>Q300</f>
        <v>102</v>
      </c>
      <c r="BZ300" s="72">
        <f>U300</f>
        <v>106</v>
      </c>
      <c r="CA300" s="71" t="str">
        <f>Y300</f>
        <v>-</v>
      </c>
      <c r="CB300" s="72">
        <f>AC300</f>
        <v>149</v>
      </c>
      <c r="CC300" s="71">
        <f>AG300</f>
        <v>187</v>
      </c>
      <c r="CD300" s="72">
        <f>AK300</f>
        <v>199</v>
      </c>
      <c r="CE300" s="71">
        <f>AO300</f>
        <v>241</v>
      </c>
      <c r="CF300" s="72">
        <f>AS300</f>
        <v>284</v>
      </c>
      <c r="CG300" s="71">
        <f>AW300</f>
        <v>310</v>
      </c>
      <c r="CH300" s="70">
        <f>G300</f>
        <v>65</v>
      </c>
      <c r="CI300" s="71">
        <f>K300</f>
        <v>69</v>
      </c>
      <c r="CJ300" s="72">
        <f>O300</f>
        <v>100</v>
      </c>
      <c r="CK300" s="72">
        <f>S300</f>
        <v>105</v>
      </c>
      <c r="CL300" s="72">
        <f>W300</f>
        <v>141</v>
      </c>
      <c r="CM300" s="72" t="str">
        <f>AA300</f>
        <v>-</v>
      </c>
      <c r="CN300" s="72">
        <f>AE300</f>
        <v>173</v>
      </c>
      <c r="CO300" s="72">
        <f>AI300</f>
        <v>189</v>
      </c>
      <c r="CP300" s="72">
        <f>AM300</f>
        <v>237</v>
      </c>
      <c r="CQ300" s="72">
        <f>AQ300</f>
        <v>278</v>
      </c>
      <c r="CR300" s="72">
        <f>AU300</f>
        <v>309</v>
      </c>
      <c r="CS300" s="72">
        <f>AY300</f>
        <v>322</v>
      </c>
      <c r="CT300" s="23">
        <f>M300-K300</f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1955"/>
        <v>opsd_bovin_3PQR</v>
      </c>
      <c r="B301" s="3" t="s">
        <v>913</v>
      </c>
      <c r="C301" s="3" t="s">
        <v>1026</v>
      </c>
      <c r="D301" s="3" t="str">
        <f>IFERROR(MID(VLOOKUP($B301,Seqs!$A:$B,2,0),E301,1),"")</f>
        <v>E</v>
      </c>
      <c r="E301" s="105">
        <v>33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V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1956"/>
        <v>1</v>
      </c>
      <c r="BC301" s="23">
        <f>_xlfn.AGGREGATE(9,6,CH301:CS301)-_xlfn.AGGREGATE(9,6,BV301:CG301)+12</f>
        <v>253</v>
      </c>
      <c r="BD301" s="4" t="s">
        <v>23</v>
      </c>
      <c r="BE301" s="3" t="s">
        <v>1285</v>
      </c>
      <c r="BF301" s="118">
        <v>2.85</v>
      </c>
      <c r="BG301" s="49" t="s">
        <v>1371</v>
      </c>
      <c r="BH301" s="49" t="s">
        <v>1371</v>
      </c>
      <c r="BI301" s="1"/>
      <c r="BJ301" s="70" t="s">
        <v>1281</v>
      </c>
      <c r="BK301" s="57" t="s">
        <v>1281</v>
      </c>
      <c r="BL301" s="57" t="s">
        <v>1281</v>
      </c>
      <c r="BM301" s="57" t="s">
        <v>1281</v>
      </c>
      <c r="BN301" s="57" t="s">
        <v>1281</v>
      </c>
      <c r="BO301" s="57" t="s">
        <v>1281</v>
      </c>
      <c r="BP301" s="57" t="s">
        <v>1281</v>
      </c>
      <c r="BQ301" s="57" t="s">
        <v>1281</v>
      </c>
      <c r="BR301" s="57" t="s">
        <v>1281</v>
      </c>
      <c r="BS301" s="57" t="s">
        <v>1281</v>
      </c>
      <c r="BT301" s="57" t="s">
        <v>1281</v>
      </c>
      <c r="BU301" s="57" t="s">
        <v>1281</v>
      </c>
      <c r="BV301" s="70">
        <f>E301</f>
        <v>33</v>
      </c>
      <c r="BW301" s="71">
        <f>I301</f>
        <v>66</v>
      </c>
      <c r="BX301" s="72">
        <f>M301</f>
        <v>70</v>
      </c>
      <c r="BY301" s="71">
        <f>Q301</f>
        <v>102</v>
      </c>
      <c r="BZ301" s="72">
        <f>U301</f>
        <v>106</v>
      </c>
      <c r="CA301" s="71" t="str">
        <f>Y301</f>
        <v>-</v>
      </c>
      <c r="CB301" s="72">
        <f>AC301</f>
        <v>149</v>
      </c>
      <c r="CC301" s="71">
        <f>AG301</f>
        <v>187</v>
      </c>
      <c r="CD301" s="72">
        <f>AK301</f>
        <v>199</v>
      </c>
      <c r="CE301" s="71">
        <f>AO301</f>
        <v>241</v>
      </c>
      <c r="CF301" s="72">
        <f>AS301</f>
        <v>284</v>
      </c>
      <c r="CG301" s="71">
        <f>AW301</f>
        <v>310</v>
      </c>
      <c r="CH301" s="70">
        <f>G301</f>
        <v>65</v>
      </c>
      <c r="CI301" s="71">
        <f>K301</f>
        <v>69</v>
      </c>
      <c r="CJ301" s="72">
        <f>O301</f>
        <v>100</v>
      </c>
      <c r="CK301" s="72">
        <f>S301</f>
        <v>105</v>
      </c>
      <c r="CL301" s="72">
        <f>W301</f>
        <v>141</v>
      </c>
      <c r="CM301" s="72" t="str">
        <f>AA301</f>
        <v>-</v>
      </c>
      <c r="CN301" s="72">
        <f>AE301</f>
        <v>173</v>
      </c>
      <c r="CO301" s="72">
        <f>AI301</f>
        <v>189</v>
      </c>
      <c r="CP301" s="72">
        <f>AM301</f>
        <v>237</v>
      </c>
      <c r="CQ301" s="72">
        <f>AQ301</f>
        <v>278</v>
      </c>
      <c r="CR301" s="72">
        <f>AU301</f>
        <v>309</v>
      </c>
      <c r="CS301" s="72">
        <f>AY301</f>
        <v>322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1955"/>
        <v>opsd_bovin_4A4M</v>
      </c>
      <c r="B302" s="2" t="s">
        <v>913</v>
      </c>
      <c r="C302" s="3" t="s">
        <v>1364</v>
      </c>
      <c r="D302" s="3" t="str">
        <f>IFERROR(MID(VLOOKUP($B302,Seqs!$A:$B,2,0),E302,1),"")</f>
        <v>E</v>
      </c>
      <c r="E302" s="105">
        <v>33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G</v>
      </c>
      <c r="AC302" s="9">
        <v>149</v>
      </c>
      <c r="AD302" s="3" t="str">
        <f>IFERROR(MID(VLOOKUP($B302,Seqs!$A:$B,2,0),AE302,1),"")</f>
        <v>V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253</v>
      </c>
      <c r="BD302" s="4" t="s">
        <v>23</v>
      </c>
      <c r="BE302" s="3" t="s">
        <v>1285</v>
      </c>
      <c r="BF302" s="118">
        <v>3.3</v>
      </c>
      <c r="BG302" s="49" t="s">
        <v>1371</v>
      </c>
      <c r="BH302" s="49" t="s">
        <v>1371</v>
      </c>
      <c r="BI302" s="1"/>
      <c r="BJ302" s="70" t="s">
        <v>1281</v>
      </c>
      <c r="BK302" s="57" t="s">
        <v>1281</v>
      </c>
      <c r="BL302" s="57" t="s">
        <v>1281</v>
      </c>
      <c r="BM302" s="57" t="s">
        <v>1281</v>
      </c>
      <c r="BN302" s="57" t="s">
        <v>1281</v>
      </c>
      <c r="BO302" s="57" t="s">
        <v>1281</v>
      </c>
      <c r="BP302" s="57" t="s">
        <v>1281</v>
      </c>
      <c r="BQ302" s="57" t="s">
        <v>1281</v>
      </c>
      <c r="BR302" s="57" t="s">
        <v>1281</v>
      </c>
      <c r="BS302" s="57" t="s">
        <v>1281</v>
      </c>
      <c r="BT302" s="57" t="s">
        <v>1281</v>
      </c>
      <c r="BU302" s="57" t="s">
        <v>1281</v>
      </c>
      <c r="BV302" s="70">
        <f>E302</f>
        <v>33</v>
      </c>
      <c r="BW302" s="71">
        <f>I302</f>
        <v>66</v>
      </c>
      <c r="BX302" s="72">
        <f>M302</f>
        <v>70</v>
      </c>
      <c r="BY302" s="71">
        <f>Q302</f>
        <v>102</v>
      </c>
      <c r="BZ302" s="72">
        <f>U302</f>
        <v>106</v>
      </c>
      <c r="CA302" s="71" t="str">
        <f>Y302</f>
        <v>-</v>
      </c>
      <c r="CB302" s="72">
        <f>AC302</f>
        <v>149</v>
      </c>
      <c r="CC302" s="71">
        <f>AG302</f>
        <v>187</v>
      </c>
      <c r="CD302" s="72">
        <f>AK302</f>
        <v>199</v>
      </c>
      <c r="CE302" s="71">
        <f>AO302</f>
        <v>241</v>
      </c>
      <c r="CF302" s="72">
        <f>AS302</f>
        <v>284</v>
      </c>
      <c r="CG302" s="71">
        <f>AW302</f>
        <v>310</v>
      </c>
      <c r="CH302" s="70">
        <f>G302</f>
        <v>65</v>
      </c>
      <c r="CI302" s="71">
        <f>K302</f>
        <v>69</v>
      </c>
      <c r="CJ302" s="72">
        <f>O302</f>
        <v>100</v>
      </c>
      <c r="CK302" s="72">
        <f>S302</f>
        <v>105</v>
      </c>
      <c r="CL302" s="72">
        <f>W302</f>
        <v>141</v>
      </c>
      <c r="CM302" s="72" t="str">
        <f>AA302</f>
        <v>-</v>
      </c>
      <c r="CN302" s="72">
        <f>AE302</f>
        <v>173</v>
      </c>
      <c r="CO302" s="72">
        <f>AI302</f>
        <v>189</v>
      </c>
      <c r="CP302" s="72">
        <f>AM302</f>
        <v>237</v>
      </c>
      <c r="CQ302" s="72">
        <f>AQ302</f>
        <v>278</v>
      </c>
      <c r="CR302" s="72">
        <f>AU302</f>
        <v>309</v>
      </c>
      <c r="CS302" s="72">
        <f>AY302</f>
        <v>322</v>
      </c>
      <c r="CT302" s="23">
        <f>M302-K302</f>
        <v>1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 t="shared" si="1955"/>
        <v>opsd_bovin_4J4Q</v>
      </c>
      <c r="B303" s="3" t="s">
        <v>913</v>
      </c>
      <c r="C303" s="3" t="s">
        <v>1037</v>
      </c>
      <c r="D303" s="3" t="str">
        <f>IFERROR(MID(VLOOKUP($B303,Seqs!$A:$B,2,0),E303,1),"")</f>
        <v>E</v>
      </c>
      <c r="E303" s="105">
        <v>33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G</v>
      </c>
      <c r="AC303" s="9">
        <v>149</v>
      </c>
      <c r="AD303" s="3" t="str">
        <f>IFERROR(MID(VLOOKUP($B303,Seqs!$A:$B,2,0),AE303,1),"")</f>
        <v>V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 t="shared" si="1956"/>
        <v>1</v>
      </c>
      <c r="BC303" s="23">
        <f t="shared" ref="BC303:BC386" si="2515">_xlfn.AGGREGATE(9,6,CH303:CS303)-_xlfn.AGGREGATE(9,6,BV303:CG303)+12</f>
        <v>253</v>
      </c>
      <c r="BD303" s="4" t="s">
        <v>23</v>
      </c>
      <c r="BE303" s="3" t="s">
        <v>1285</v>
      </c>
      <c r="BF303" s="118">
        <v>2.65</v>
      </c>
      <c r="BG303" s="49" t="s">
        <v>1371</v>
      </c>
      <c r="BH303" s="49" t="s">
        <v>1371</v>
      </c>
      <c r="BI303" s="1"/>
      <c r="BJ303" s="70" t="s">
        <v>1281</v>
      </c>
      <c r="BK303" s="57" t="s">
        <v>1281</v>
      </c>
      <c r="BL303" s="57" t="s">
        <v>1281</v>
      </c>
      <c r="BM303" s="57" t="s">
        <v>1281</v>
      </c>
      <c r="BN303" s="57" t="s">
        <v>1281</v>
      </c>
      <c r="BO303" s="57" t="s">
        <v>1281</v>
      </c>
      <c r="BP303" s="57" t="s">
        <v>1281</v>
      </c>
      <c r="BQ303" s="57" t="s">
        <v>1281</v>
      </c>
      <c r="BR303" s="57" t="s">
        <v>1281</v>
      </c>
      <c r="BS303" s="57" t="s">
        <v>1281</v>
      </c>
      <c r="BT303" s="57" t="s">
        <v>1281</v>
      </c>
      <c r="BU303" s="57" t="s">
        <v>1281</v>
      </c>
      <c r="BV303" s="70">
        <f t="shared" ref="BV303:BV386" si="2516">E303</f>
        <v>33</v>
      </c>
      <c r="BW303" s="71">
        <f t="shared" ref="BW303:BW386" si="2517">I303</f>
        <v>66</v>
      </c>
      <c r="BX303" s="72">
        <f t="shared" ref="BX303:BX386" si="2518">M303</f>
        <v>70</v>
      </c>
      <c r="BY303" s="71">
        <f t="shared" ref="BY303:BY386" si="2519">Q303</f>
        <v>102</v>
      </c>
      <c r="BZ303" s="72">
        <f t="shared" ref="BZ303:BZ386" si="2520">U303</f>
        <v>106</v>
      </c>
      <c r="CA303" s="71" t="str">
        <f t="shared" ref="CA303:CA386" si="2521">Y303</f>
        <v>-</v>
      </c>
      <c r="CB303" s="72">
        <f t="shared" ref="CB303:CB386" si="2522">AC303</f>
        <v>149</v>
      </c>
      <c r="CC303" s="71">
        <f t="shared" ref="CC303:CC386" si="2523">AG303</f>
        <v>187</v>
      </c>
      <c r="CD303" s="72">
        <f t="shared" ref="CD303:CD386" si="2524">AK303</f>
        <v>199</v>
      </c>
      <c r="CE303" s="71">
        <f t="shared" ref="CE303:CE386" si="2525">AO303</f>
        <v>241</v>
      </c>
      <c r="CF303" s="72">
        <f t="shared" ref="CF303:CF386" si="2526">AS303</f>
        <v>284</v>
      </c>
      <c r="CG303" s="71">
        <f t="shared" ref="CG303:CG386" si="2527">AW303</f>
        <v>310</v>
      </c>
      <c r="CH303" s="70">
        <f t="shared" ref="CH303:CH386" si="2528">G303</f>
        <v>65</v>
      </c>
      <c r="CI303" s="71">
        <f t="shared" ref="CI303:CI386" si="2529">K303</f>
        <v>69</v>
      </c>
      <c r="CJ303" s="72">
        <f t="shared" ref="CJ303:CJ386" si="2530">O303</f>
        <v>100</v>
      </c>
      <c r="CK303" s="72">
        <f t="shared" ref="CK303:CK386" si="2531">S303</f>
        <v>105</v>
      </c>
      <c r="CL303" s="72">
        <f t="shared" ref="CL303:CL386" si="2532">W303</f>
        <v>141</v>
      </c>
      <c r="CM303" s="72" t="str">
        <f t="shared" ref="CM303:CM386" si="2533">AA303</f>
        <v>-</v>
      </c>
      <c r="CN303" s="72">
        <f t="shared" ref="CN303:CN386" si="2534">AE303</f>
        <v>173</v>
      </c>
      <c r="CO303" s="72">
        <f t="shared" ref="CO303:CO386" si="2535">AI303</f>
        <v>189</v>
      </c>
      <c r="CP303" s="72">
        <f t="shared" ref="CP303:CP386" si="2536">AM303</f>
        <v>237</v>
      </c>
      <c r="CQ303" s="72">
        <f t="shared" ref="CQ303:CQ386" si="2537">AQ303</f>
        <v>278</v>
      </c>
      <c r="CR303" s="72">
        <f t="shared" ref="CR303:CR386" si="2538">AU303</f>
        <v>309</v>
      </c>
      <c r="CS303" s="72">
        <f t="shared" ref="CS303:CS386" si="2539">AY303</f>
        <v>322</v>
      </c>
      <c r="CT303" s="23">
        <f t="shared" ref="CT303:CT386" si="2540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955"/>
        <v>opsd_bovin_5DYS</v>
      </c>
      <c r="B304" s="3" t="s">
        <v>913</v>
      </c>
      <c r="C304" s="3" t="s">
        <v>1351</v>
      </c>
      <c r="D304" s="3" t="str">
        <f>IFERROR(MID(VLOOKUP($B304,Seqs!$A:$B,2,0),E304,1),"")</f>
        <v>E</v>
      </c>
      <c r="E304" s="105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H</v>
      </c>
      <c r="O304" s="3">
        <v>100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G</v>
      </c>
      <c r="AC304" s="9">
        <v>149</v>
      </c>
      <c r="AD304" s="3" t="str">
        <f>IFERROR(MID(VLOOKUP($B304,Seqs!$A:$B,2,0),AE304,1),"")</f>
        <v>V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199</v>
      </c>
      <c r="AL304" s="3" t="str">
        <f>IFERROR(MID(VLOOKUP($B304,Seqs!$A:$B,2,0),AM304,1),"")</f>
        <v>Q</v>
      </c>
      <c r="AM304" s="3">
        <v>237</v>
      </c>
      <c r="AN304" s="3" t="str">
        <f>IFERROR(MID(VLOOKUP($B304,Seqs!$A:$B,2,0),AO304,1),"")</f>
        <v>A</v>
      </c>
      <c r="AO304" s="3">
        <v>241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G</v>
      </c>
      <c r="AS304" s="3">
        <v>284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322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956"/>
        <v>1</v>
      </c>
      <c r="BC304" s="23">
        <f t="shared" si="2515"/>
        <v>253</v>
      </c>
      <c r="BD304" s="5" t="s">
        <v>23</v>
      </c>
      <c r="BE304" s="3" t="s">
        <v>1285</v>
      </c>
      <c r="BF304" s="118">
        <v>2.2999999999999998</v>
      </c>
      <c r="BG304" s="49" t="s">
        <v>1371</v>
      </c>
      <c r="BH304" s="49" t="s">
        <v>1371</v>
      </c>
      <c r="BI304" s="1"/>
      <c r="BJ304" s="70" t="s">
        <v>1281</v>
      </c>
      <c r="BK304" s="57" t="s">
        <v>1281</v>
      </c>
      <c r="BL304" s="57" t="s">
        <v>1281</v>
      </c>
      <c r="BM304" s="57" t="s">
        <v>1281</v>
      </c>
      <c r="BN304" s="57" t="s">
        <v>1281</v>
      </c>
      <c r="BO304" s="57" t="s">
        <v>1281</v>
      </c>
      <c r="BP304" s="57" t="s">
        <v>1281</v>
      </c>
      <c r="BQ304" s="57" t="s">
        <v>1281</v>
      </c>
      <c r="BR304" s="57" t="s">
        <v>1281</v>
      </c>
      <c r="BS304" s="57" t="s">
        <v>1281</v>
      </c>
      <c r="BT304" s="57" t="s">
        <v>1281</v>
      </c>
      <c r="BU304" s="57" t="s">
        <v>1281</v>
      </c>
      <c r="BV304" s="70">
        <f t="shared" si="2516"/>
        <v>33</v>
      </c>
      <c r="BW304" s="71">
        <f t="shared" si="2517"/>
        <v>66</v>
      </c>
      <c r="BX304" s="72">
        <f t="shared" si="2518"/>
        <v>70</v>
      </c>
      <c r="BY304" s="71">
        <f t="shared" si="2519"/>
        <v>102</v>
      </c>
      <c r="BZ304" s="72">
        <f t="shared" si="2520"/>
        <v>106</v>
      </c>
      <c r="CA304" s="71" t="str">
        <f t="shared" si="2521"/>
        <v>-</v>
      </c>
      <c r="CB304" s="72">
        <f t="shared" si="2522"/>
        <v>149</v>
      </c>
      <c r="CC304" s="71">
        <f t="shared" si="2523"/>
        <v>187</v>
      </c>
      <c r="CD304" s="72">
        <f t="shared" si="2524"/>
        <v>199</v>
      </c>
      <c r="CE304" s="71">
        <f t="shared" si="2525"/>
        <v>241</v>
      </c>
      <c r="CF304" s="72">
        <f t="shared" si="2526"/>
        <v>284</v>
      </c>
      <c r="CG304" s="71">
        <f t="shared" si="2527"/>
        <v>310</v>
      </c>
      <c r="CH304" s="70">
        <f t="shared" si="2528"/>
        <v>65</v>
      </c>
      <c r="CI304" s="71">
        <f t="shared" si="2529"/>
        <v>69</v>
      </c>
      <c r="CJ304" s="72">
        <f t="shared" si="2530"/>
        <v>100</v>
      </c>
      <c r="CK304" s="72">
        <f t="shared" si="2531"/>
        <v>105</v>
      </c>
      <c r="CL304" s="72">
        <f t="shared" si="2532"/>
        <v>141</v>
      </c>
      <c r="CM304" s="72" t="str">
        <f t="shared" si="2533"/>
        <v>-</v>
      </c>
      <c r="CN304" s="72">
        <f t="shared" si="2534"/>
        <v>173</v>
      </c>
      <c r="CO304" s="72">
        <f t="shared" si="2535"/>
        <v>189</v>
      </c>
      <c r="CP304" s="72">
        <f t="shared" si="2536"/>
        <v>237</v>
      </c>
      <c r="CQ304" s="72">
        <f t="shared" si="2537"/>
        <v>278</v>
      </c>
      <c r="CR304" s="72">
        <f t="shared" si="2538"/>
        <v>309</v>
      </c>
      <c r="CS304" s="72">
        <f t="shared" si="2539"/>
        <v>322</v>
      </c>
      <c r="CT304" s="23">
        <f t="shared" si="2540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ref="A305:A411" si="2541">CONCATENATE(B305,"_",C305)</f>
        <v>opsd_bovin_5EN0</v>
      </c>
      <c r="B305" s="3" t="s">
        <v>913</v>
      </c>
      <c r="C305" s="3" t="s">
        <v>1352</v>
      </c>
      <c r="D305" s="3" t="str">
        <f>IFERROR(MID(VLOOKUP($B305,Seqs!$A:$B,2,0),E305,1),"")</f>
        <v>E</v>
      </c>
      <c r="E305" s="105">
        <v>33</v>
      </c>
      <c r="F305" s="3" t="str">
        <f>IFERROR(MID(VLOOKUP($B305,Seqs!$A:$B,2,0),G305,1),"")</f>
        <v>H</v>
      </c>
      <c r="G305" s="3">
        <v>65</v>
      </c>
      <c r="H305" s="3" t="str">
        <f>IFERROR(MID(VLOOKUP($B305,Seqs!$A:$B,2,0),I305,1),"")</f>
        <v>K</v>
      </c>
      <c r="I305" s="23">
        <v>66</v>
      </c>
      <c r="J305" s="3" t="str">
        <f>IFERROR(MID(VLOOKUP($B305,Seqs!$A:$B,2,0),K305,1),"")</f>
        <v>R</v>
      </c>
      <c r="K305" s="23">
        <v>69</v>
      </c>
      <c r="L305" s="3" t="str">
        <f>IFERROR(MID(VLOOKUP($B305,Seqs!$A:$B,2,0),M305,1),"")</f>
        <v>T</v>
      </c>
      <c r="M305" s="3">
        <v>70</v>
      </c>
      <c r="N305" s="3" t="str">
        <f>IFERROR(MID(VLOOKUP($B305,Seqs!$A:$B,2,0),O305,1),"")</f>
        <v>H</v>
      </c>
      <c r="O305" s="3">
        <v>100</v>
      </c>
      <c r="P305" s="3" t="str">
        <f>IFERROR(MID(VLOOKUP($B305,Seqs!$A:$B,2,0),Q305,1),"")</f>
        <v>Y</v>
      </c>
      <c r="Q305" s="3">
        <v>102</v>
      </c>
      <c r="R305" s="3" t="str">
        <f>IFERROR(MID(VLOOKUP($B305,Seqs!$A:$B,2,0),S305,1),"")</f>
        <v>F</v>
      </c>
      <c r="S305" s="3">
        <v>105</v>
      </c>
      <c r="T305" s="3" t="str">
        <f>IFERROR(MID(VLOOKUP($B305,Seqs!$A:$B,2,0),U305,1),"")</f>
        <v>G</v>
      </c>
      <c r="U305" s="3">
        <v>106</v>
      </c>
      <c r="V305" s="3" t="str">
        <f>IFERROR(MID(VLOOKUP($B305,Seqs!$A:$B,2,0),W305,1),"")</f>
        <v>K</v>
      </c>
      <c r="W305" s="3">
        <v>141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G</v>
      </c>
      <c r="AC305" s="9">
        <v>149</v>
      </c>
      <c r="AD305" s="3" t="str">
        <f>IFERROR(MID(VLOOKUP($B305,Seqs!$A:$B,2,0),AE305,1),"")</f>
        <v>V</v>
      </c>
      <c r="AE305" s="3">
        <v>173</v>
      </c>
      <c r="AF305" s="3" t="str">
        <f>IFERROR(MID(VLOOKUP($B305,Seqs!$A:$B,2,0),AG305,1),"")</f>
        <v>C</v>
      </c>
      <c r="AG305" s="3">
        <v>187</v>
      </c>
      <c r="AH305" s="3" t="str">
        <f>IFERROR(MID(VLOOKUP($B305,Seqs!$A:$B,2,0),AI305,1),"")</f>
        <v>I</v>
      </c>
      <c r="AI305" s="3">
        <v>189</v>
      </c>
      <c r="AJ305" s="3" t="str">
        <f>IFERROR(MID(VLOOKUP($B305,Seqs!$A:$B,2,0),AK305,1),"")</f>
        <v>N</v>
      </c>
      <c r="AK305" s="3">
        <v>199</v>
      </c>
      <c r="AL305" s="3" t="str">
        <f>IFERROR(MID(VLOOKUP($B305,Seqs!$A:$B,2,0),AM305,1),"")</f>
        <v>Q</v>
      </c>
      <c r="AM305" s="3">
        <v>237</v>
      </c>
      <c r="AN305" s="3" t="str">
        <f>IFERROR(MID(VLOOKUP($B305,Seqs!$A:$B,2,0),AO305,1),"")</f>
        <v>A</v>
      </c>
      <c r="AO305" s="3">
        <v>241</v>
      </c>
      <c r="AP305" s="3" t="str">
        <f>IFERROR(MID(VLOOKUP($B305,Seqs!$A:$B,2,0),AQ305,1),"")</f>
        <v>H</v>
      </c>
      <c r="AQ305" s="3">
        <v>278</v>
      </c>
      <c r="AR305" s="3" t="str">
        <f>IFERROR(MID(VLOOKUP($B305,Seqs!$A:$B,2,0),AS305,1),"")</f>
        <v>G</v>
      </c>
      <c r="AS305" s="3">
        <v>284</v>
      </c>
      <c r="AT305" s="3" t="str">
        <f>IFERROR(MID(VLOOKUP($B305,Seqs!$A:$B,2,0),AU305,1),"")</f>
        <v>M</v>
      </c>
      <c r="AU305" s="3">
        <v>309</v>
      </c>
      <c r="AV305" s="3" t="str">
        <f>IFERROR(MID(VLOOKUP($B305,Seqs!$A:$B,2,0),AW305,1),"")</f>
        <v>N</v>
      </c>
      <c r="AW305" s="3">
        <v>310</v>
      </c>
      <c r="AX305" s="3" t="str">
        <f>IFERROR(MID(VLOOKUP($B305,Seqs!$A:$B,2,0),AY305,1),"")</f>
        <v>C</v>
      </c>
      <c r="AY305" s="3">
        <v>322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ref="BB305:BB411" si="2542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si="2515"/>
        <v>253</v>
      </c>
      <c r="BD305" s="4" t="s">
        <v>23</v>
      </c>
      <c r="BE305" s="3" t="s">
        <v>1285</v>
      </c>
      <c r="BF305" s="118">
        <v>2.81</v>
      </c>
      <c r="BG305" s="49" t="s">
        <v>1371</v>
      </c>
      <c r="BH305" s="49" t="s">
        <v>1371</v>
      </c>
      <c r="BI305" s="1"/>
      <c r="BJ305" s="70" t="s">
        <v>1281</v>
      </c>
      <c r="BK305" s="57" t="s">
        <v>1281</v>
      </c>
      <c r="BL305" s="57" t="s">
        <v>1281</v>
      </c>
      <c r="BM305" s="57" t="s">
        <v>1281</v>
      </c>
      <c r="BN305" s="57" t="s">
        <v>1281</v>
      </c>
      <c r="BO305" s="57" t="s">
        <v>1281</v>
      </c>
      <c r="BP305" s="57" t="s">
        <v>1281</v>
      </c>
      <c r="BQ305" s="57" t="s">
        <v>1281</v>
      </c>
      <c r="BR305" s="57" t="s">
        <v>1281</v>
      </c>
      <c r="BS305" s="57" t="s">
        <v>1281</v>
      </c>
      <c r="BT305" s="57" t="s">
        <v>1281</v>
      </c>
      <c r="BU305" s="57" t="s">
        <v>1281</v>
      </c>
      <c r="BV305" s="70">
        <f t="shared" si="2516"/>
        <v>33</v>
      </c>
      <c r="BW305" s="71">
        <f t="shared" si="2517"/>
        <v>66</v>
      </c>
      <c r="BX305" s="72">
        <f t="shared" si="2518"/>
        <v>70</v>
      </c>
      <c r="BY305" s="71">
        <f t="shared" si="2519"/>
        <v>102</v>
      </c>
      <c r="BZ305" s="72">
        <f t="shared" si="2520"/>
        <v>106</v>
      </c>
      <c r="CA305" s="71" t="str">
        <f t="shared" si="2521"/>
        <v>-</v>
      </c>
      <c r="CB305" s="72">
        <f t="shared" si="2522"/>
        <v>149</v>
      </c>
      <c r="CC305" s="71">
        <f t="shared" si="2523"/>
        <v>187</v>
      </c>
      <c r="CD305" s="72">
        <f t="shared" si="2524"/>
        <v>199</v>
      </c>
      <c r="CE305" s="71">
        <f t="shared" si="2525"/>
        <v>241</v>
      </c>
      <c r="CF305" s="72">
        <f t="shared" si="2526"/>
        <v>284</v>
      </c>
      <c r="CG305" s="71">
        <f t="shared" si="2527"/>
        <v>310</v>
      </c>
      <c r="CH305" s="70">
        <f t="shared" si="2528"/>
        <v>65</v>
      </c>
      <c r="CI305" s="71">
        <f t="shared" si="2529"/>
        <v>69</v>
      </c>
      <c r="CJ305" s="72">
        <f t="shared" si="2530"/>
        <v>100</v>
      </c>
      <c r="CK305" s="72">
        <f t="shared" si="2531"/>
        <v>105</v>
      </c>
      <c r="CL305" s="72">
        <f t="shared" si="2532"/>
        <v>141</v>
      </c>
      <c r="CM305" s="72" t="str">
        <f t="shared" si="2533"/>
        <v>-</v>
      </c>
      <c r="CN305" s="72">
        <f t="shared" si="2534"/>
        <v>173</v>
      </c>
      <c r="CO305" s="72">
        <f t="shared" si="2535"/>
        <v>189</v>
      </c>
      <c r="CP305" s="72">
        <f t="shared" si="2536"/>
        <v>237</v>
      </c>
      <c r="CQ305" s="72">
        <f t="shared" si="2537"/>
        <v>278</v>
      </c>
      <c r="CR305" s="72">
        <f t="shared" si="2538"/>
        <v>309</v>
      </c>
      <c r="CS305" s="72">
        <f t="shared" si="2539"/>
        <v>322</v>
      </c>
      <c r="CT305" s="23">
        <f t="shared" si="254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ref="A306:A316" si="2543">CONCATENATE(B306,"_",C306)</f>
        <v>opsd_bovin_5TE3</v>
      </c>
      <c r="B306" s="3" t="s">
        <v>913</v>
      </c>
      <c r="C306" s="3" t="s">
        <v>1393</v>
      </c>
      <c r="D306" s="3" t="str">
        <f>IFERROR(MID(VLOOKUP($B306,Seqs!$A:$B,2,0),E306,1),"")</f>
        <v>E</v>
      </c>
      <c r="E306" s="105">
        <v>33</v>
      </c>
      <c r="F306" s="3" t="str">
        <f>IFERROR(MID(VLOOKUP($B306,Seqs!$A:$B,2,0),G306,1),"")</f>
        <v>H</v>
      </c>
      <c r="G306" s="3">
        <v>65</v>
      </c>
      <c r="H306" s="3" t="str">
        <f>IFERROR(MID(VLOOKUP($B306,Seqs!$A:$B,2,0),I306,1),"")</f>
        <v>K</v>
      </c>
      <c r="I306" s="23">
        <v>66</v>
      </c>
      <c r="J306" s="3" t="str">
        <f>IFERROR(MID(VLOOKUP($B306,Seqs!$A:$B,2,0),K306,1),"")</f>
        <v>R</v>
      </c>
      <c r="K306" s="23">
        <v>69</v>
      </c>
      <c r="L306" s="3" t="str">
        <f>IFERROR(MID(VLOOKUP($B306,Seqs!$A:$B,2,0),M306,1),"")</f>
        <v>T</v>
      </c>
      <c r="M306" s="3">
        <v>70</v>
      </c>
      <c r="N306" s="3" t="str">
        <f>IFERROR(MID(VLOOKUP($B306,Seqs!$A:$B,2,0),O306,1),"")</f>
        <v>H</v>
      </c>
      <c r="O306" s="3">
        <v>100</v>
      </c>
      <c r="P306" s="3" t="str">
        <f>IFERROR(MID(VLOOKUP($B306,Seqs!$A:$B,2,0),Q306,1),"")</f>
        <v>Y</v>
      </c>
      <c r="Q306" s="3">
        <v>102</v>
      </c>
      <c r="R306" s="3" t="str">
        <f>IFERROR(MID(VLOOKUP($B306,Seqs!$A:$B,2,0),S306,1),"")</f>
        <v>F</v>
      </c>
      <c r="S306" s="3">
        <v>105</v>
      </c>
      <c r="T306" s="3" t="str">
        <f>IFERROR(MID(VLOOKUP($B306,Seqs!$A:$B,2,0),U306,1),"")</f>
        <v>G</v>
      </c>
      <c r="U306" s="3">
        <v>106</v>
      </c>
      <c r="V306" s="3" t="str">
        <f>IFERROR(MID(VLOOKUP($B306,Seqs!$A:$B,2,0),W306,1),"")</f>
        <v>K</v>
      </c>
      <c r="W306" s="3">
        <v>141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G</v>
      </c>
      <c r="AC306" s="3">
        <v>149</v>
      </c>
      <c r="AD306" s="3" t="str">
        <f>IFERROR(MID(VLOOKUP($B306,Seqs!$A:$B,2,0),AE306,1),"")</f>
        <v>V</v>
      </c>
      <c r="AE306" s="3">
        <v>173</v>
      </c>
      <c r="AF306" s="3" t="str">
        <f>IFERROR(MID(VLOOKUP($B306,Seqs!$A:$B,2,0),AG306,1),"")</f>
        <v>C</v>
      </c>
      <c r="AG306" s="3">
        <v>187</v>
      </c>
      <c r="AH306" s="3" t="str">
        <f>IFERROR(MID(VLOOKUP($B306,Seqs!$A:$B,2,0),AI306,1),"")</f>
        <v>I</v>
      </c>
      <c r="AI306" s="3">
        <v>189</v>
      </c>
      <c r="AJ306" s="3" t="str">
        <f>IFERROR(MID(VLOOKUP($B306,Seqs!$A:$B,2,0),AK306,1),"")</f>
        <v>N</v>
      </c>
      <c r="AK306" s="3">
        <v>199</v>
      </c>
      <c r="AL306" s="3" t="str">
        <f>IFERROR(MID(VLOOKUP($B306,Seqs!$A:$B,2,0),AM306,1),"")</f>
        <v>Q</v>
      </c>
      <c r="AM306" s="3">
        <v>237</v>
      </c>
      <c r="AN306" s="3" t="str">
        <f>IFERROR(MID(VLOOKUP($B306,Seqs!$A:$B,2,0),AO306,1),"")</f>
        <v>A</v>
      </c>
      <c r="AO306" s="3">
        <v>241</v>
      </c>
      <c r="AP306" s="3" t="str">
        <f>IFERROR(MID(VLOOKUP($B306,Seqs!$A:$B,2,0),AQ306,1),"")</f>
        <v>H</v>
      </c>
      <c r="AQ306" s="3">
        <v>278</v>
      </c>
      <c r="AR306" s="3" t="str">
        <f>IFERROR(MID(VLOOKUP($B306,Seqs!$A:$B,2,0),AS306,1),"")</f>
        <v>G</v>
      </c>
      <c r="AS306" s="3">
        <v>284</v>
      </c>
      <c r="AT306" s="3" t="str">
        <f>IFERROR(MID(VLOOKUP($B306,Seqs!$A:$B,2,0),AU306,1),"")</f>
        <v>M</v>
      </c>
      <c r="AU306" s="3">
        <v>309</v>
      </c>
      <c r="AV306" s="3" t="str">
        <f>IFERROR(MID(VLOOKUP($B306,Seqs!$A:$B,2,0),AW306,1),"")</f>
        <v>N</v>
      </c>
      <c r="AW306" s="3">
        <v>310</v>
      </c>
      <c r="AX306" s="3" t="str">
        <f>IFERROR(MID(VLOOKUP($B306,Seqs!$A:$B,2,0),AY306,1),"")</f>
        <v>C</v>
      </c>
      <c r="AY306" s="3">
        <v>322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ref="BB306:BB316" si="2544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:BC316" si="2545">_xlfn.AGGREGATE(9,6,CH306:CS306)-_xlfn.AGGREGATE(9,6,BV306:CG306)+12</f>
        <v>253</v>
      </c>
      <c r="BD306" s="2" t="s">
        <v>23</v>
      </c>
      <c r="BE306" s="3" t="s">
        <v>1285</v>
      </c>
      <c r="BF306" s="118">
        <v>2.7</v>
      </c>
      <c r="BG306" s="49" t="s">
        <v>1</v>
      </c>
      <c r="BH306" s="49" t="s">
        <v>1371</v>
      </c>
      <c r="BI306" s="1"/>
      <c r="BJ306" s="70" t="s">
        <v>1281</v>
      </c>
      <c r="BK306" s="57" t="s">
        <v>1281</v>
      </c>
      <c r="BL306" s="57" t="s">
        <v>1281</v>
      </c>
      <c r="BM306" s="57" t="s">
        <v>1281</v>
      </c>
      <c r="BN306" s="57" t="s">
        <v>1281</v>
      </c>
      <c r="BO306" s="57" t="s">
        <v>1281</v>
      </c>
      <c r="BP306" s="57" t="s">
        <v>1281</v>
      </c>
      <c r="BQ306" s="57" t="s">
        <v>1281</v>
      </c>
      <c r="BR306" s="57" t="s">
        <v>1281</v>
      </c>
      <c r="BS306" s="57" t="s">
        <v>1281</v>
      </c>
      <c r="BT306" s="57" t="s">
        <v>1281</v>
      </c>
      <c r="BU306" s="57" t="s">
        <v>1281</v>
      </c>
      <c r="BV306" s="70">
        <f t="shared" ref="BV306:BV316" si="2546">E306</f>
        <v>33</v>
      </c>
      <c r="BW306" s="71">
        <f t="shared" ref="BW306:BW316" si="2547">I306</f>
        <v>66</v>
      </c>
      <c r="BX306" s="72">
        <f t="shared" ref="BX306:BX316" si="2548">M306</f>
        <v>70</v>
      </c>
      <c r="BY306" s="71">
        <f t="shared" ref="BY306:BY316" si="2549">Q306</f>
        <v>102</v>
      </c>
      <c r="BZ306" s="72">
        <f t="shared" ref="BZ306:BZ316" si="2550">U306</f>
        <v>106</v>
      </c>
      <c r="CA306" s="71" t="str">
        <f t="shared" ref="CA306:CA316" si="2551">Y306</f>
        <v>-</v>
      </c>
      <c r="CB306" s="72">
        <f t="shared" ref="CB306:CB316" si="2552">AC306</f>
        <v>149</v>
      </c>
      <c r="CC306" s="71">
        <f t="shared" ref="CC306:CC316" si="2553">AG306</f>
        <v>187</v>
      </c>
      <c r="CD306" s="72">
        <f t="shared" ref="CD306:CD316" si="2554">AK306</f>
        <v>199</v>
      </c>
      <c r="CE306" s="71">
        <f t="shared" ref="CE306:CE316" si="2555">AO306</f>
        <v>241</v>
      </c>
      <c r="CF306" s="72">
        <f t="shared" ref="CF306:CF316" si="2556">AS306</f>
        <v>284</v>
      </c>
      <c r="CG306" s="71">
        <f t="shared" ref="CG306:CG316" si="2557">AW306</f>
        <v>310</v>
      </c>
      <c r="CH306" s="70">
        <f t="shared" ref="CH306:CH316" si="2558">G306</f>
        <v>65</v>
      </c>
      <c r="CI306" s="71">
        <f t="shared" ref="CI306:CI316" si="2559">K306</f>
        <v>69</v>
      </c>
      <c r="CJ306" s="72">
        <f t="shared" ref="CJ306:CJ316" si="2560">O306</f>
        <v>100</v>
      </c>
      <c r="CK306" s="72">
        <f t="shared" ref="CK306:CK316" si="2561">S306</f>
        <v>105</v>
      </c>
      <c r="CL306" s="72">
        <f t="shared" ref="CL306:CL316" si="2562">W306</f>
        <v>141</v>
      </c>
      <c r="CM306" s="72" t="str">
        <f t="shared" ref="CM306:CM316" si="2563">AA306</f>
        <v>-</v>
      </c>
      <c r="CN306" s="72">
        <f t="shared" ref="CN306:CN316" si="2564">AE306</f>
        <v>173</v>
      </c>
      <c r="CO306" s="72">
        <f t="shared" ref="CO306:CO316" si="2565">AI306</f>
        <v>189</v>
      </c>
      <c r="CP306" s="72">
        <f t="shared" ref="CP306:CP316" si="2566">AM306</f>
        <v>237</v>
      </c>
      <c r="CQ306" s="72">
        <f t="shared" ref="CQ306:CQ316" si="2567">AQ306</f>
        <v>278</v>
      </c>
      <c r="CR306" s="72">
        <f t="shared" ref="CR306:CR316" si="2568">AU306</f>
        <v>309</v>
      </c>
      <c r="CS306" s="72">
        <f t="shared" ref="CS306:CS316" si="2569">AY306</f>
        <v>322</v>
      </c>
      <c r="CT306" s="23">
        <f t="shared" ref="CT306:CT316" si="2570">M306-K306</f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2543"/>
        <v>opsd_bovin_5TE5</v>
      </c>
      <c r="B307" s="3" t="s">
        <v>913</v>
      </c>
      <c r="C307" s="3" t="s">
        <v>1394</v>
      </c>
      <c r="D307" s="3" t="str">
        <f>IFERROR(MID(VLOOKUP($B307,Seqs!$A:$B,2,0),E307,1),"")</f>
        <v>Q</v>
      </c>
      <c r="E307" s="3">
        <v>36</v>
      </c>
      <c r="F307" s="3" t="str">
        <f>IFERROR(MID(VLOOKUP($B307,Seqs!$A:$B,2,0),G307,1),"")</f>
        <v>H</v>
      </c>
      <c r="G307" s="3">
        <v>65</v>
      </c>
      <c r="H307" s="3" t="str">
        <f>IFERROR(MID(VLOOKUP($B307,Seqs!$A:$B,2,0),I307,1),"")</f>
        <v>K</v>
      </c>
      <c r="I307" s="23">
        <v>66</v>
      </c>
      <c r="J307" s="3" t="str">
        <f>IFERROR(MID(VLOOKUP($B307,Seqs!$A:$B,2,0),K307,1),"")</f>
        <v>R</v>
      </c>
      <c r="K307" s="23">
        <v>69</v>
      </c>
      <c r="L307" s="3" t="str">
        <f>IFERROR(MID(VLOOKUP($B307,Seqs!$A:$B,2,0),M307,1),"")</f>
        <v>T</v>
      </c>
      <c r="M307" s="3">
        <v>70</v>
      </c>
      <c r="N307" s="3" t="str">
        <f>IFERROR(MID(VLOOKUP($B307,Seqs!$A:$B,2,0),O307,1),"")</f>
        <v>G</v>
      </c>
      <c r="O307" s="3">
        <v>101</v>
      </c>
      <c r="P307" s="3" t="str">
        <f>IFERROR(MID(VLOOKUP($B307,Seqs!$A:$B,2,0),Q307,1),"")</f>
        <v>Y</v>
      </c>
      <c r="Q307" s="3">
        <v>102</v>
      </c>
      <c r="R307" s="3" t="str">
        <f>IFERROR(MID(VLOOKUP($B307,Seqs!$A:$B,2,0),S307,1),"")</f>
        <v>F</v>
      </c>
      <c r="S307" s="3">
        <v>105</v>
      </c>
      <c r="T307" s="3" t="str">
        <f>IFERROR(MID(VLOOKUP($B307,Seqs!$A:$B,2,0),U307,1),"")</f>
        <v>G</v>
      </c>
      <c r="U307" s="3">
        <v>106</v>
      </c>
      <c r="V307" s="3" t="str">
        <f>IFERROR(MID(VLOOKUP($B307,Seqs!$A:$B,2,0),W307,1),"")</f>
        <v>K</v>
      </c>
      <c r="W307" s="3">
        <v>141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G</v>
      </c>
      <c r="AC307" s="3">
        <v>149</v>
      </c>
      <c r="AD307" s="3" t="str">
        <f>IFERROR(MID(VLOOKUP($B307,Seqs!$A:$B,2,0),AE307,1),"")</f>
        <v>V</v>
      </c>
      <c r="AE307" s="3">
        <v>173</v>
      </c>
      <c r="AF307" s="3" t="str">
        <f>IFERROR(MID(VLOOKUP($B307,Seqs!$A:$B,2,0),AG307,1),"")</f>
        <v>C</v>
      </c>
      <c r="AG307" s="3">
        <v>187</v>
      </c>
      <c r="AH307" s="3" t="str">
        <f>IFERROR(MID(VLOOKUP($B307,Seqs!$A:$B,2,0),AI307,1),"")</f>
        <v>I</v>
      </c>
      <c r="AI307" s="3">
        <v>189</v>
      </c>
      <c r="AJ307" s="3" t="str">
        <f>IFERROR(MID(VLOOKUP($B307,Seqs!$A:$B,2,0),AK307,1),"")</f>
        <v>S</v>
      </c>
      <c r="AK307" s="3">
        <v>202</v>
      </c>
      <c r="AL307" s="3" t="str">
        <f>IFERROR(MID(VLOOKUP($B307,Seqs!$A:$B,2,0),AM307,1),"")</f>
        <v>L</v>
      </c>
      <c r="AM307" s="3">
        <v>226</v>
      </c>
      <c r="AN307" s="3" t="str">
        <f>IFERROR(MID(VLOOKUP($B307,Seqs!$A:$B,2,0),AO307,1),"")</f>
        <v>T</v>
      </c>
      <c r="AO307" s="3">
        <v>243</v>
      </c>
      <c r="AP307" s="3" t="str">
        <f>IFERROR(MID(VLOOKUP($B307,Seqs!$A:$B,2,0),AQ307,1),"")</f>
        <v>H</v>
      </c>
      <c r="AQ307" s="3">
        <v>278</v>
      </c>
      <c r="AR307" s="3" t="str">
        <f>IFERROR(MID(VLOOKUP($B307,Seqs!$A:$B,2,0),AS307,1),"")</f>
        <v>P</v>
      </c>
      <c r="AS307" s="3">
        <v>285</v>
      </c>
      <c r="AT307" s="3" t="str">
        <f>IFERROR(MID(VLOOKUP($B307,Seqs!$A:$B,2,0),AU307,1),"")</f>
        <v>M</v>
      </c>
      <c r="AU307" s="3">
        <v>309</v>
      </c>
      <c r="AV307" s="3" t="str">
        <f>IFERROR(MID(VLOOKUP($B307,Seqs!$A:$B,2,0),AW307,1),"")</f>
        <v>N</v>
      </c>
      <c r="AW307" s="3">
        <v>310</v>
      </c>
      <c r="AX307" s="3" t="str">
        <f>IFERROR(MID(VLOOKUP($B307,Seqs!$A:$B,2,0),AY307,1),"")</f>
        <v>C</v>
      </c>
      <c r="AY307" s="3">
        <v>323</v>
      </c>
      <c r="AZ307" s="77" t="str">
        <f>VLOOKUP(B307,Classification!A:D,2,0)</f>
        <v>A</v>
      </c>
      <c r="BA307" s="94" t="str">
        <f>VLOOKUP(B307,Classification!A:D,4,0)</f>
        <v>Opsins</v>
      </c>
      <c r="BB307" s="27" t="b">
        <f t="shared" si="2544"/>
        <v>1</v>
      </c>
      <c r="BC307" s="23">
        <f t="shared" si="2545"/>
        <v>235</v>
      </c>
      <c r="BD307" s="2" t="s">
        <v>23</v>
      </c>
      <c r="BE307" s="3" t="s">
        <v>1368</v>
      </c>
      <c r="BF307" s="118">
        <v>4.01</v>
      </c>
      <c r="BG307" s="49" t="s">
        <v>1371</v>
      </c>
      <c r="BH307" s="49" t="s">
        <v>1371</v>
      </c>
      <c r="BI307" s="1"/>
      <c r="BJ307" s="70" t="s">
        <v>1281</v>
      </c>
      <c r="BK307" s="57" t="s">
        <v>1281</v>
      </c>
      <c r="BL307" s="57" t="s">
        <v>1281</v>
      </c>
      <c r="BM307" s="57" t="s">
        <v>1281</v>
      </c>
      <c r="BN307" s="57" t="s">
        <v>1281</v>
      </c>
      <c r="BO307" s="57" t="s">
        <v>1281</v>
      </c>
      <c r="BP307" s="57" t="s">
        <v>1281</v>
      </c>
      <c r="BQ307" s="57" t="s">
        <v>1281</v>
      </c>
      <c r="BR307" s="57" t="s">
        <v>1281</v>
      </c>
      <c r="BS307" s="57" t="s">
        <v>1281</v>
      </c>
      <c r="BT307" s="57" t="s">
        <v>1281</v>
      </c>
      <c r="BU307" s="57" t="s">
        <v>1281</v>
      </c>
      <c r="BV307" s="70">
        <f t="shared" si="2546"/>
        <v>36</v>
      </c>
      <c r="BW307" s="71">
        <f t="shared" si="2547"/>
        <v>66</v>
      </c>
      <c r="BX307" s="72">
        <f t="shared" si="2548"/>
        <v>70</v>
      </c>
      <c r="BY307" s="71">
        <f t="shared" si="2549"/>
        <v>102</v>
      </c>
      <c r="BZ307" s="72">
        <f t="shared" si="2550"/>
        <v>106</v>
      </c>
      <c r="CA307" s="71" t="str">
        <f t="shared" si="2551"/>
        <v>-</v>
      </c>
      <c r="CB307" s="72">
        <f t="shared" si="2552"/>
        <v>149</v>
      </c>
      <c r="CC307" s="71">
        <f t="shared" si="2553"/>
        <v>187</v>
      </c>
      <c r="CD307" s="72">
        <f t="shared" si="2554"/>
        <v>202</v>
      </c>
      <c r="CE307" s="71">
        <f t="shared" si="2555"/>
        <v>243</v>
      </c>
      <c r="CF307" s="72">
        <f t="shared" si="2556"/>
        <v>285</v>
      </c>
      <c r="CG307" s="71">
        <f t="shared" si="2557"/>
        <v>310</v>
      </c>
      <c r="CH307" s="70">
        <f t="shared" si="2558"/>
        <v>65</v>
      </c>
      <c r="CI307" s="71">
        <f t="shared" si="2559"/>
        <v>69</v>
      </c>
      <c r="CJ307" s="72">
        <f t="shared" si="2560"/>
        <v>101</v>
      </c>
      <c r="CK307" s="72">
        <f t="shared" si="2561"/>
        <v>105</v>
      </c>
      <c r="CL307" s="72">
        <f t="shared" si="2562"/>
        <v>141</v>
      </c>
      <c r="CM307" s="72" t="str">
        <f t="shared" si="2563"/>
        <v>-</v>
      </c>
      <c r="CN307" s="72">
        <f t="shared" si="2564"/>
        <v>173</v>
      </c>
      <c r="CO307" s="72">
        <f t="shared" si="2565"/>
        <v>189</v>
      </c>
      <c r="CP307" s="72">
        <f t="shared" si="2566"/>
        <v>226</v>
      </c>
      <c r="CQ307" s="72">
        <f t="shared" si="2567"/>
        <v>278</v>
      </c>
      <c r="CR307" s="72">
        <f t="shared" si="2568"/>
        <v>309</v>
      </c>
      <c r="CS307" s="72">
        <f t="shared" si="2569"/>
        <v>323</v>
      </c>
      <c r="CT307" s="23">
        <f t="shared" si="257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2543"/>
        <v>opsd_bovin_5WKT</v>
      </c>
      <c r="B308" s="3" t="s">
        <v>913</v>
      </c>
      <c r="C308" s="3" t="s">
        <v>1444</v>
      </c>
      <c r="D308" s="3" t="str">
        <f>IFERROR(MID(VLOOKUP($B308,Seqs!$A:$B,2,0),E308,1),"")</f>
        <v>E</v>
      </c>
      <c r="E308" s="3">
        <v>33</v>
      </c>
      <c r="F308" s="3" t="str">
        <f>IFERROR(MID(VLOOKUP($B308,Seqs!$A:$B,2,0),G308,1),"")</f>
        <v>Q</v>
      </c>
      <c r="G308" s="3">
        <v>64</v>
      </c>
      <c r="H308" s="3" t="str">
        <f>IFERROR(MID(VLOOKUP($B308,Seqs!$A:$B,2,0),I308,1),"")</f>
        <v>K</v>
      </c>
      <c r="I308" s="23">
        <v>66</v>
      </c>
      <c r="J308" s="3" t="str">
        <f>IFERROR(MID(VLOOKUP($B308,Seqs!$A:$B,2,0),K308,1),"")</f>
        <v>R</v>
      </c>
      <c r="K308" s="23">
        <v>69</v>
      </c>
      <c r="L308" s="3" t="str">
        <f>IFERROR(MID(VLOOKUP($B308,Seqs!$A:$B,2,0),M308,1),"")</f>
        <v>N</v>
      </c>
      <c r="M308" s="3">
        <v>73</v>
      </c>
      <c r="N308" s="3" t="str">
        <f>IFERROR(MID(VLOOKUP($B308,Seqs!$A:$B,2,0),O308,1),"")</f>
        <v>G</v>
      </c>
      <c r="O308" s="3">
        <v>101</v>
      </c>
      <c r="P308" s="3" t="str">
        <f>IFERROR(MID(VLOOKUP($B308,Seqs!$A:$B,2,0),Q308,1),"")</f>
        <v>Y</v>
      </c>
      <c r="Q308" s="3">
        <v>102</v>
      </c>
      <c r="R308" s="3" t="str">
        <f>IFERROR(MID(VLOOKUP($B308,Seqs!$A:$B,2,0),S308,1),"")</f>
        <v>F</v>
      </c>
      <c r="S308" s="3">
        <v>105</v>
      </c>
      <c r="T308" s="3" t="str">
        <f>IFERROR(MID(VLOOKUP($B308,Seqs!$A:$B,2,0),U308,1),"")</f>
        <v>G</v>
      </c>
      <c r="U308" s="3">
        <v>106</v>
      </c>
      <c r="V308" s="3" t="str">
        <f>IFERROR(MID(VLOOKUP($B308,Seqs!$A:$B,2,0),W308,1),"")</f>
        <v>K</v>
      </c>
      <c r="W308" s="3">
        <v>141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G</v>
      </c>
      <c r="AC308" s="3">
        <v>149</v>
      </c>
      <c r="AD308" s="3" t="str">
        <f>IFERROR(MID(VLOOKUP($B308,Seqs!$A:$B,2,0),AE308,1),"")</f>
        <v>V</v>
      </c>
      <c r="AE308" s="3">
        <v>173</v>
      </c>
      <c r="AF308" s="3" t="str">
        <f>IFERROR(MID(VLOOKUP($B308,Seqs!$A:$B,2,0),AG308,1),"")</f>
        <v>C</v>
      </c>
      <c r="AG308" s="3">
        <v>187</v>
      </c>
      <c r="AH308" s="3" t="str">
        <f>IFERROR(MID(VLOOKUP($B308,Seqs!$A:$B,2,0),AI308,1),"")</f>
        <v>I</v>
      </c>
      <c r="AI308" s="3">
        <v>189</v>
      </c>
      <c r="AJ308" s="3" t="str">
        <f>IFERROR(MID(VLOOKUP($B308,Seqs!$A:$B,2,0),AK308,1),"")</f>
        <v>N</v>
      </c>
      <c r="AK308" s="3">
        <v>199</v>
      </c>
      <c r="AL308" s="3" t="str">
        <f>IFERROR(MID(VLOOKUP($B308,Seqs!$A:$B,2,0),AM308,1),"")</f>
        <v>Q</v>
      </c>
      <c r="AM308" s="3">
        <v>236</v>
      </c>
      <c r="AN308" s="3" t="str">
        <f>IFERROR(MID(VLOOKUP($B308,Seqs!$A:$B,2,0),AO308,1),"")</f>
        <v>S</v>
      </c>
      <c r="AO308" s="3">
        <v>240</v>
      </c>
      <c r="AP308" s="3" t="str">
        <f>IFERROR(MID(VLOOKUP($B308,Seqs!$A:$B,2,0),AQ308,1),"")</f>
        <v>H</v>
      </c>
      <c r="AQ308" s="3">
        <v>278</v>
      </c>
      <c r="AR308" s="3" t="str">
        <f>IFERROR(MID(VLOOKUP($B308,Seqs!$A:$B,2,0),AS308,1),"")</f>
        <v>G</v>
      </c>
      <c r="AS308" s="3">
        <v>284</v>
      </c>
      <c r="AT308" s="3" t="str">
        <f>IFERROR(MID(VLOOKUP($B308,Seqs!$A:$B,2,0),AU308,1),"")</f>
        <v>M</v>
      </c>
      <c r="AU308" s="3">
        <v>309</v>
      </c>
      <c r="AV308" s="3" t="str">
        <f>IFERROR(MID(VLOOKUP($B308,Seqs!$A:$B,2,0),AW308,1),"")</f>
        <v>N</v>
      </c>
      <c r="AW308" s="3">
        <v>310</v>
      </c>
      <c r="AX308" s="3" t="str">
        <f>IFERROR(MID(VLOOKUP($B308,Seqs!$A:$B,2,0),AY308,1),"")</f>
        <v>C</v>
      </c>
      <c r="AY308" s="3">
        <v>322</v>
      </c>
      <c r="AZ308" s="77" t="str">
        <f>VLOOKUP(B308,Classification!A:D,2,0)</f>
        <v>A</v>
      </c>
      <c r="BA308" s="94" t="str">
        <f>VLOOKUP(B308,Classification!A:D,4,0)</f>
        <v>Opsins</v>
      </c>
      <c r="BB308" s="27" t="b">
        <f t="shared" si="2544"/>
        <v>1</v>
      </c>
      <c r="BC308" s="23">
        <f t="shared" si="2545"/>
        <v>250</v>
      </c>
      <c r="BD308" s="2" t="s">
        <v>23</v>
      </c>
      <c r="BE308" s="3" t="s">
        <v>1285</v>
      </c>
      <c r="BF308" s="118">
        <v>3.2</v>
      </c>
      <c r="BG308" s="49" t="s">
        <v>1</v>
      </c>
      <c r="BH308" s="49" t="s">
        <v>1</v>
      </c>
      <c r="BI308" s="1"/>
      <c r="BJ308" s="70" t="s">
        <v>1281</v>
      </c>
      <c r="BK308" s="57" t="s">
        <v>1281</v>
      </c>
      <c r="BL308" s="57" t="s">
        <v>1281</v>
      </c>
      <c r="BM308" s="57" t="s">
        <v>1281</v>
      </c>
      <c r="BN308" s="57" t="s">
        <v>1281</v>
      </c>
      <c r="BO308" s="57" t="s">
        <v>1281</v>
      </c>
      <c r="BP308" s="57" t="s">
        <v>1281</v>
      </c>
      <c r="BQ308" s="57" t="s">
        <v>1281</v>
      </c>
      <c r="BR308" s="57" t="s">
        <v>1281</v>
      </c>
      <c r="BS308" s="57" t="s">
        <v>1281</v>
      </c>
      <c r="BT308" s="57" t="s">
        <v>1281</v>
      </c>
      <c r="BU308" s="57" t="s">
        <v>1281</v>
      </c>
      <c r="BV308" s="70">
        <f t="shared" si="2546"/>
        <v>33</v>
      </c>
      <c r="BW308" s="71">
        <f t="shared" si="2547"/>
        <v>66</v>
      </c>
      <c r="BX308" s="72">
        <f t="shared" si="2548"/>
        <v>73</v>
      </c>
      <c r="BY308" s="71">
        <f t="shared" si="2549"/>
        <v>102</v>
      </c>
      <c r="BZ308" s="72">
        <f t="shared" si="2550"/>
        <v>106</v>
      </c>
      <c r="CA308" s="71" t="str">
        <f t="shared" si="2551"/>
        <v>-</v>
      </c>
      <c r="CB308" s="72">
        <f t="shared" si="2552"/>
        <v>149</v>
      </c>
      <c r="CC308" s="71">
        <f t="shared" si="2553"/>
        <v>187</v>
      </c>
      <c r="CD308" s="72">
        <f t="shared" si="2554"/>
        <v>199</v>
      </c>
      <c r="CE308" s="71">
        <f t="shared" si="2555"/>
        <v>240</v>
      </c>
      <c r="CF308" s="72">
        <f t="shared" si="2556"/>
        <v>284</v>
      </c>
      <c r="CG308" s="71">
        <f t="shared" si="2557"/>
        <v>310</v>
      </c>
      <c r="CH308" s="70">
        <f t="shared" si="2558"/>
        <v>64</v>
      </c>
      <c r="CI308" s="71">
        <f t="shared" si="2559"/>
        <v>69</v>
      </c>
      <c r="CJ308" s="72">
        <f t="shared" si="2560"/>
        <v>101</v>
      </c>
      <c r="CK308" s="72">
        <f t="shared" si="2561"/>
        <v>105</v>
      </c>
      <c r="CL308" s="72">
        <f t="shared" si="2562"/>
        <v>141</v>
      </c>
      <c r="CM308" s="72" t="str">
        <f t="shared" si="2563"/>
        <v>-</v>
      </c>
      <c r="CN308" s="72">
        <f t="shared" si="2564"/>
        <v>173</v>
      </c>
      <c r="CO308" s="72">
        <f t="shared" si="2565"/>
        <v>189</v>
      </c>
      <c r="CP308" s="72">
        <f t="shared" si="2566"/>
        <v>236</v>
      </c>
      <c r="CQ308" s="72">
        <f t="shared" si="2567"/>
        <v>278</v>
      </c>
      <c r="CR308" s="72">
        <f t="shared" si="2568"/>
        <v>309</v>
      </c>
      <c r="CS308" s="72">
        <f t="shared" si="2569"/>
        <v>322</v>
      </c>
      <c r="CT308" s="23">
        <f t="shared" si="2570"/>
        <v>4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2543"/>
        <v>opsd_bovin_6FK6</v>
      </c>
      <c r="B309" s="3" t="s">
        <v>913</v>
      </c>
      <c r="C309" s="3" t="s">
        <v>1475</v>
      </c>
      <c r="D309" s="3" t="str">
        <f>IFERROR(MID(VLOOKUP($B309,Seqs!$A:$B,2,0),E309,1),"")</f>
        <v>E</v>
      </c>
      <c r="E309" s="3">
        <v>33</v>
      </c>
      <c r="F309" s="3" t="str">
        <f>IFERROR(MID(VLOOKUP($B309,Seqs!$A:$B,2,0),G309,1),"")</f>
        <v>Q</v>
      </c>
      <c r="G309" s="3">
        <v>64</v>
      </c>
      <c r="H309" s="3" t="str">
        <f>IFERROR(MID(VLOOKUP($B309,Seqs!$A:$B,2,0),I309,1),"")</f>
        <v>K</v>
      </c>
      <c r="I309" s="23">
        <v>66</v>
      </c>
      <c r="J309" s="3" t="str">
        <f>IFERROR(MID(VLOOKUP($B309,Seqs!$A:$B,2,0),K309,1),"")</f>
        <v>R</v>
      </c>
      <c r="K309" s="23">
        <v>69</v>
      </c>
      <c r="L309" s="3" t="str">
        <f>IFERROR(MID(VLOOKUP($B309,Seqs!$A:$B,2,0),M309,1),"")</f>
        <v>N</v>
      </c>
      <c r="M309" s="3">
        <v>73</v>
      </c>
      <c r="N309" s="3" t="str">
        <f>IFERROR(MID(VLOOKUP($B309,Seqs!$A:$B,2,0),O309,1),"")</f>
        <v>G</v>
      </c>
      <c r="O309" s="3">
        <v>101</v>
      </c>
      <c r="P309" s="3" t="str">
        <f>IFERROR(MID(VLOOKUP($B309,Seqs!$A:$B,2,0),Q309,1),"")</f>
        <v>Y</v>
      </c>
      <c r="Q309" s="3">
        <v>102</v>
      </c>
      <c r="R309" s="3" t="str">
        <f>IFERROR(MID(VLOOKUP($B309,Seqs!$A:$B,2,0),S309,1),"")</f>
        <v>F</v>
      </c>
      <c r="S309" s="3">
        <v>105</v>
      </c>
      <c r="T309" s="3" t="str">
        <f>IFERROR(MID(VLOOKUP($B309,Seqs!$A:$B,2,0),U309,1),"")</f>
        <v>G</v>
      </c>
      <c r="U309" s="3">
        <v>106</v>
      </c>
      <c r="V309" s="3" t="str">
        <f>IFERROR(MID(VLOOKUP($B309,Seqs!$A:$B,2,0),W309,1),"")</f>
        <v>K</v>
      </c>
      <c r="W309" s="3">
        <v>141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G</v>
      </c>
      <c r="AC309" s="3">
        <v>149</v>
      </c>
      <c r="AD309" s="3" t="str">
        <f>IFERROR(MID(VLOOKUP($B309,Seqs!$A:$B,2,0),AE309,1),"")</f>
        <v>V</v>
      </c>
      <c r="AE309" s="3">
        <v>173</v>
      </c>
      <c r="AF309" s="3" t="str">
        <f>IFERROR(MID(VLOOKUP($B309,Seqs!$A:$B,2,0),AG309,1),"")</f>
        <v>C</v>
      </c>
      <c r="AG309" s="3">
        <v>187</v>
      </c>
      <c r="AH309" s="3" t="str">
        <f>IFERROR(MID(VLOOKUP($B309,Seqs!$A:$B,2,0),AI309,1),"")</f>
        <v>I</v>
      </c>
      <c r="AI309" s="3">
        <v>189</v>
      </c>
      <c r="AJ309" s="3" t="str">
        <f>IFERROR(MID(VLOOKUP($B309,Seqs!$A:$B,2,0),AK309,1),"")</f>
        <v>N</v>
      </c>
      <c r="AK309" s="3">
        <v>199</v>
      </c>
      <c r="AL309" s="3" t="str">
        <f>IFERROR(MID(VLOOKUP($B309,Seqs!$A:$B,2,0),AM309,1),"")</f>
        <v>Q</v>
      </c>
      <c r="AM309" s="3">
        <v>236</v>
      </c>
      <c r="AN309" s="3" t="str">
        <f>IFERROR(MID(VLOOKUP($B309,Seqs!$A:$B,2,0),AO309,1),"")</f>
        <v>S</v>
      </c>
      <c r="AO309" s="3">
        <v>240</v>
      </c>
      <c r="AP309" s="3" t="str">
        <f>IFERROR(MID(VLOOKUP($B309,Seqs!$A:$B,2,0),AQ309,1),"")</f>
        <v>H</v>
      </c>
      <c r="AQ309" s="3">
        <v>278</v>
      </c>
      <c r="AR309" s="3" t="str">
        <f>IFERROR(MID(VLOOKUP($B309,Seqs!$A:$B,2,0),AS309,1),"")</f>
        <v>G</v>
      </c>
      <c r="AS309" s="3">
        <v>284</v>
      </c>
      <c r="AT309" s="3" t="str">
        <f>IFERROR(MID(VLOOKUP($B309,Seqs!$A:$B,2,0),AU309,1),"")</f>
        <v>M</v>
      </c>
      <c r="AU309" s="3">
        <v>309</v>
      </c>
      <c r="AV309" s="3" t="str">
        <f>IFERROR(MID(VLOOKUP($B309,Seqs!$A:$B,2,0),AW309,1),"")</f>
        <v>N</v>
      </c>
      <c r="AW309" s="3">
        <v>310</v>
      </c>
      <c r="AX309" s="3" t="str">
        <f>IFERROR(MID(VLOOKUP($B309,Seqs!$A:$B,2,0),AY309,1),"")</f>
        <v>C</v>
      </c>
      <c r="AY309" s="3">
        <v>322</v>
      </c>
      <c r="AZ309" s="77" t="str">
        <f>VLOOKUP(B309,Classification!A:D,2,0)</f>
        <v>A</v>
      </c>
      <c r="BA309" s="94" t="str">
        <f>VLOOKUP(B309,Classification!A:D,4,0)</f>
        <v>Opsins</v>
      </c>
      <c r="BB309" s="27" t="b">
        <f t="shared" si="2544"/>
        <v>1</v>
      </c>
      <c r="BC309" s="23">
        <f t="shared" si="2545"/>
        <v>250</v>
      </c>
      <c r="BD309" s="2" t="s">
        <v>23</v>
      </c>
      <c r="BE309" s="3" t="s">
        <v>1285</v>
      </c>
      <c r="BF309" s="118">
        <v>2.36</v>
      </c>
      <c r="BG309" s="49" t="s">
        <v>1</v>
      </c>
      <c r="BH309" s="49" t="s">
        <v>1</v>
      </c>
      <c r="BI309" s="1"/>
      <c r="BJ309" s="70" t="s">
        <v>1281</v>
      </c>
      <c r="BK309" s="57" t="s">
        <v>1281</v>
      </c>
      <c r="BL309" s="57" t="s">
        <v>1281</v>
      </c>
      <c r="BM309" s="57" t="s">
        <v>1281</v>
      </c>
      <c r="BN309" s="57" t="s">
        <v>1281</v>
      </c>
      <c r="BO309" s="57" t="s">
        <v>1281</v>
      </c>
      <c r="BP309" s="57" t="s">
        <v>1281</v>
      </c>
      <c r="BQ309" s="57" t="s">
        <v>1281</v>
      </c>
      <c r="BR309" s="57" t="s">
        <v>1281</v>
      </c>
      <c r="BS309" s="57" t="s">
        <v>1281</v>
      </c>
      <c r="BT309" s="57" t="s">
        <v>1281</v>
      </c>
      <c r="BU309" s="57" t="s">
        <v>1281</v>
      </c>
      <c r="BV309" s="70">
        <f t="shared" si="2546"/>
        <v>33</v>
      </c>
      <c r="BW309" s="71">
        <f t="shared" si="2547"/>
        <v>66</v>
      </c>
      <c r="BX309" s="72">
        <f t="shared" si="2548"/>
        <v>73</v>
      </c>
      <c r="BY309" s="71">
        <f t="shared" si="2549"/>
        <v>102</v>
      </c>
      <c r="BZ309" s="72">
        <f t="shared" si="2550"/>
        <v>106</v>
      </c>
      <c r="CA309" s="71" t="str">
        <f t="shared" si="2551"/>
        <v>-</v>
      </c>
      <c r="CB309" s="72">
        <f t="shared" si="2552"/>
        <v>149</v>
      </c>
      <c r="CC309" s="71">
        <f t="shared" si="2553"/>
        <v>187</v>
      </c>
      <c r="CD309" s="72">
        <f t="shared" si="2554"/>
        <v>199</v>
      </c>
      <c r="CE309" s="71">
        <f t="shared" si="2555"/>
        <v>240</v>
      </c>
      <c r="CF309" s="72">
        <f t="shared" si="2556"/>
        <v>284</v>
      </c>
      <c r="CG309" s="71">
        <f t="shared" si="2557"/>
        <v>310</v>
      </c>
      <c r="CH309" s="70">
        <f t="shared" si="2558"/>
        <v>64</v>
      </c>
      <c r="CI309" s="71">
        <f t="shared" si="2559"/>
        <v>69</v>
      </c>
      <c r="CJ309" s="72">
        <f t="shared" si="2560"/>
        <v>101</v>
      </c>
      <c r="CK309" s="72">
        <f t="shared" si="2561"/>
        <v>105</v>
      </c>
      <c r="CL309" s="72">
        <f t="shared" si="2562"/>
        <v>141</v>
      </c>
      <c r="CM309" s="72" t="str">
        <f t="shared" si="2563"/>
        <v>-</v>
      </c>
      <c r="CN309" s="72">
        <f t="shared" si="2564"/>
        <v>173</v>
      </c>
      <c r="CO309" s="72">
        <f t="shared" si="2565"/>
        <v>189</v>
      </c>
      <c r="CP309" s="72">
        <f t="shared" si="2566"/>
        <v>236</v>
      </c>
      <c r="CQ309" s="72">
        <f t="shared" si="2567"/>
        <v>278</v>
      </c>
      <c r="CR309" s="72">
        <f t="shared" si="2568"/>
        <v>309</v>
      </c>
      <c r="CS309" s="72">
        <f t="shared" si="2569"/>
        <v>322</v>
      </c>
      <c r="CT309" s="23">
        <f t="shared" si="2570"/>
        <v>4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2543"/>
        <v>opsd_bovin_6FK7</v>
      </c>
      <c r="B310" s="3" t="s">
        <v>913</v>
      </c>
      <c r="C310" s="3" t="s">
        <v>1476</v>
      </c>
      <c r="D310" s="3" t="str">
        <f>IFERROR(MID(VLOOKUP($B310,Seqs!$A:$B,2,0),E310,1),"")</f>
        <v>E</v>
      </c>
      <c r="E310" s="3">
        <v>33</v>
      </c>
      <c r="F310" s="3" t="str">
        <f>IFERROR(MID(VLOOKUP($B310,Seqs!$A:$B,2,0),G310,1),"")</f>
        <v>Q</v>
      </c>
      <c r="G310" s="3">
        <v>64</v>
      </c>
      <c r="H310" s="3" t="str">
        <f>IFERROR(MID(VLOOKUP($B310,Seqs!$A:$B,2,0),I310,1),"")</f>
        <v>K</v>
      </c>
      <c r="I310" s="23">
        <v>66</v>
      </c>
      <c r="J310" s="3" t="str">
        <f>IFERROR(MID(VLOOKUP($B310,Seqs!$A:$B,2,0),K310,1),"")</f>
        <v>R</v>
      </c>
      <c r="K310" s="23">
        <v>69</v>
      </c>
      <c r="L310" s="3" t="str">
        <f>IFERROR(MID(VLOOKUP($B310,Seqs!$A:$B,2,0),M310,1),"")</f>
        <v>N</v>
      </c>
      <c r="M310" s="3">
        <v>73</v>
      </c>
      <c r="N310" s="3" t="str">
        <f>IFERROR(MID(VLOOKUP($B310,Seqs!$A:$B,2,0),O310,1),"")</f>
        <v>G</v>
      </c>
      <c r="O310" s="3">
        <v>101</v>
      </c>
      <c r="P310" s="3" t="str">
        <f>IFERROR(MID(VLOOKUP($B310,Seqs!$A:$B,2,0),Q310,1),"")</f>
        <v>Y</v>
      </c>
      <c r="Q310" s="3">
        <v>102</v>
      </c>
      <c r="R310" s="3" t="str">
        <f>IFERROR(MID(VLOOKUP($B310,Seqs!$A:$B,2,0),S310,1),"")</f>
        <v>F</v>
      </c>
      <c r="S310" s="3">
        <v>105</v>
      </c>
      <c r="T310" s="3" t="str">
        <f>IFERROR(MID(VLOOKUP($B310,Seqs!$A:$B,2,0),U310,1),"")</f>
        <v>G</v>
      </c>
      <c r="U310" s="3">
        <v>106</v>
      </c>
      <c r="V310" s="3" t="str">
        <f>IFERROR(MID(VLOOKUP($B310,Seqs!$A:$B,2,0),W310,1),"")</f>
        <v>K</v>
      </c>
      <c r="W310" s="3">
        <v>141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G</v>
      </c>
      <c r="AC310" s="3">
        <v>149</v>
      </c>
      <c r="AD310" s="3" t="str">
        <f>IFERROR(MID(VLOOKUP($B310,Seqs!$A:$B,2,0),AE310,1),"")</f>
        <v>V</v>
      </c>
      <c r="AE310" s="3">
        <v>173</v>
      </c>
      <c r="AF310" s="3" t="str">
        <f>IFERROR(MID(VLOOKUP($B310,Seqs!$A:$B,2,0),AG310,1),"")</f>
        <v>C</v>
      </c>
      <c r="AG310" s="3">
        <v>187</v>
      </c>
      <c r="AH310" s="3" t="str">
        <f>IFERROR(MID(VLOOKUP($B310,Seqs!$A:$B,2,0),AI310,1),"")</f>
        <v>I</v>
      </c>
      <c r="AI310" s="3">
        <v>189</v>
      </c>
      <c r="AJ310" s="3" t="str">
        <f>IFERROR(MID(VLOOKUP($B310,Seqs!$A:$B,2,0),AK310,1),"")</f>
        <v>N</v>
      </c>
      <c r="AK310" s="3">
        <v>199</v>
      </c>
      <c r="AL310" s="3" t="str">
        <f>IFERROR(MID(VLOOKUP($B310,Seqs!$A:$B,2,0),AM310,1),"")</f>
        <v>Q</v>
      </c>
      <c r="AM310" s="3">
        <v>236</v>
      </c>
      <c r="AN310" s="3" t="str">
        <f>IFERROR(MID(VLOOKUP($B310,Seqs!$A:$B,2,0),AO310,1),"")</f>
        <v>S</v>
      </c>
      <c r="AO310" s="3">
        <v>240</v>
      </c>
      <c r="AP310" s="3" t="str">
        <f>IFERROR(MID(VLOOKUP($B310,Seqs!$A:$B,2,0),AQ310,1),"")</f>
        <v>H</v>
      </c>
      <c r="AQ310" s="3">
        <v>278</v>
      </c>
      <c r="AR310" s="3" t="str">
        <f>IFERROR(MID(VLOOKUP($B310,Seqs!$A:$B,2,0),AS310,1),"")</f>
        <v>T</v>
      </c>
      <c r="AS310" s="3">
        <v>289</v>
      </c>
      <c r="AT310" s="3" t="str">
        <f>IFERROR(MID(VLOOKUP($B310,Seqs!$A:$B,2,0),AU310,1),"")</f>
        <v>M</v>
      </c>
      <c r="AU310" s="3">
        <v>309</v>
      </c>
      <c r="AV310" s="3" t="str">
        <f>IFERROR(MID(VLOOKUP($B310,Seqs!$A:$B,2,0),AW310,1),"")</f>
        <v>N</v>
      </c>
      <c r="AW310" s="3">
        <v>310</v>
      </c>
      <c r="AX310" s="3" t="str">
        <f>IFERROR(MID(VLOOKUP($B310,Seqs!$A:$B,2,0),AY310,1),"")</f>
        <v>C</v>
      </c>
      <c r="AY310" s="3">
        <v>322</v>
      </c>
      <c r="AZ310" s="77" t="str">
        <f>VLOOKUP(B310,Classification!A:D,2,0)</f>
        <v>A</v>
      </c>
      <c r="BA310" s="94" t="str">
        <f>VLOOKUP(B310,Classification!A:D,4,0)</f>
        <v>Opsins</v>
      </c>
      <c r="BB310" s="27" t="b">
        <f t="shared" si="2544"/>
        <v>1</v>
      </c>
      <c r="BC310" s="23">
        <f t="shared" si="2545"/>
        <v>245</v>
      </c>
      <c r="BD310" s="2" t="s">
        <v>23</v>
      </c>
      <c r="BE310" s="3" t="s">
        <v>1285</v>
      </c>
      <c r="BF310" s="118">
        <v>2.62</v>
      </c>
      <c r="BG310" s="49" t="s">
        <v>1</v>
      </c>
      <c r="BH310" s="49" t="s">
        <v>1</v>
      </c>
      <c r="BI310" s="1"/>
      <c r="BJ310" s="70" t="s">
        <v>1281</v>
      </c>
      <c r="BK310" s="57" t="s">
        <v>1281</v>
      </c>
      <c r="BL310" s="57" t="s">
        <v>1281</v>
      </c>
      <c r="BM310" s="57" t="s">
        <v>1281</v>
      </c>
      <c r="BN310" s="57" t="s">
        <v>1281</v>
      </c>
      <c r="BO310" s="57" t="s">
        <v>1281</v>
      </c>
      <c r="BP310" s="57" t="s">
        <v>1281</v>
      </c>
      <c r="BQ310" s="57" t="s">
        <v>1281</v>
      </c>
      <c r="BR310" s="57" t="s">
        <v>1281</v>
      </c>
      <c r="BS310" s="57" t="s">
        <v>1281</v>
      </c>
      <c r="BT310" s="57" t="s">
        <v>1281</v>
      </c>
      <c r="BU310" s="57" t="s">
        <v>1281</v>
      </c>
      <c r="BV310" s="70">
        <f t="shared" si="2546"/>
        <v>33</v>
      </c>
      <c r="BW310" s="71">
        <f t="shared" si="2547"/>
        <v>66</v>
      </c>
      <c r="BX310" s="72">
        <f t="shared" si="2548"/>
        <v>73</v>
      </c>
      <c r="BY310" s="71">
        <f t="shared" si="2549"/>
        <v>102</v>
      </c>
      <c r="BZ310" s="72">
        <f t="shared" si="2550"/>
        <v>106</v>
      </c>
      <c r="CA310" s="71" t="str">
        <f t="shared" si="2551"/>
        <v>-</v>
      </c>
      <c r="CB310" s="72">
        <f t="shared" si="2552"/>
        <v>149</v>
      </c>
      <c r="CC310" s="71">
        <f t="shared" si="2553"/>
        <v>187</v>
      </c>
      <c r="CD310" s="72">
        <f t="shared" si="2554"/>
        <v>199</v>
      </c>
      <c r="CE310" s="71">
        <f t="shared" si="2555"/>
        <v>240</v>
      </c>
      <c r="CF310" s="72">
        <f t="shared" si="2556"/>
        <v>289</v>
      </c>
      <c r="CG310" s="71">
        <f t="shared" si="2557"/>
        <v>310</v>
      </c>
      <c r="CH310" s="70">
        <f t="shared" si="2558"/>
        <v>64</v>
      </c>
      <c r="CI310" s="71">
        <f t="shared" si="2559"/>
        <v>69</v>
      </c>
      <c r="CJ310" s="72">
        <f t="shared" si="2560"/>
        <v>101</v>
      </c>
      <c r="CK310" s="72">
        <f t="shared" si="2561"/>
        <v>105</v>
      </c>
      <c r="CL310" s="72">
        <f t="shared" si="2562"/>
        <v>141</v>
      </c>
      <c r="CM310" s="72" t="str">
        <f t="shared" si="2563"/>
        <v>-</v>
      </c>
      <c r="CN310" s="72">
        <f t="shared" si="2564"/>
        <v>173</v>
      </c>
      <c r="CO310" s="72">
        <f t="shared" si="2565"/>
        <v>189</v>
      </c>
      <c r="CP310" s="72">
        <f t="shared" si="2566"/>
        <v>236</v>
      </c>
      <c r="CQ310" s="72">
        <f t="shared" si="2567"/>
        <v>278</v>
      </c>
      <c r="CR310" s="72">
        <f t="shared" si="2568"/>
        <v>309</v>
      </c>
      <c r="CS310" s="72">
        <f t="shared" si="2569"/>
        <v>322</v>
      </c>
      <c r="CT310" s="23">
        <f t="shared" si="2570"/>
        <v>4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2543"/>
        <v>opsd_bovin_6FK8</v>
      </c>
      <c r="B311" s="3" t="s">
        <v>913</v>
      </c>
      <c r="C311" s="3" t="s">
        <v>1477</v>
      </c>
      <c r="D311" s="3" t="str">
        <f>IFERROR(MID(VLOOKUP($B311,Seqs!$A:$B,2,0),E311,1),"")</f>
        <v>E</v>
      </c>
      <c r="E311" s="3">
        <v>33</v>
      </c>
      <c r="F311" s="3" t="str">
        <f>IFERROR(MID(VLOOKUP($B311,Seqs!$A:$B,2,0),G311,1),"")</f>
        <v>Q</v>
      </c>
      <c r="G311" s="3">
        <v>64</v>
      </c>
      <c r="H311" s="3" t="str">
        <f>IFERROR(MID(VLOOKUP($B311,Seqs!$A:$B,2,0),I311,1),"")</f>
        <v>K</v>
      </c>
      <c r="I311" s="23">
        <v>66</v>
      </c>
      <c r="J311" s="3" t="str">
        <f>IFERROR(MID(VLOOKUP($B311,Seqs!$A:$B,2,0),K311,1),"")</f>
        <v>R</v>
      </c>
      <c r="K311" s="23">
        <v>69</v>
      </c>
      <c r="L311" s="3" t="str">
        <f>IFERROR(MID(VLOOKUP($B311,Seqs!$A:$B,2,0),M311,1),"")</f>
        <v>N</v>
      </c>
      <c r="M311" s="3">
        <v>73</v>
      </c>
      <c r="N311" s="3" t="str">
        <f>IFERROR(MID(VLOOKUP($B311,Seqs!$A:$B,2,0),O311,1),"")</f>
        <v>G</v>
      </c>
      <c r="O311" s="3">
        <v>101</v>
      </c>
      <c r="P311" s="3" t="str">
        <f>IFERROR(MID(VLOOKUP($B311,Seqs!$A:$B,2,0),Q311,1),"")</f>
        <v>Y</v>
      </c>
      <c r="Q311" s="3">
        <v>102</v>
      </c>
      <c r="R311" s="3" t="str">
        <f>IFERROR(MID(VLOOKUP($B311,Seqs!$A:$B,2,0),S311,1),"")</f>
        <v>F</v>
      </c>
      <c r="S311" s="3">
        <v>105</v>
      </c>
      <c r="T311" s="3" t="str">
        <f>IFERROR(MID(VLOOKUP($B311,Seqs!$A:$B,2,0),U311,1),"")</f>
        <v>G</v>
      </c>
      <c r="U311" s="3">
        <v>106</v>
      </c>
      <c r="V311" s="3" t="str">
        <f>IFERROR(MID(VLOOKUP($B311,Seqs!$A:$B,2,0),W311,1),"")</f>
        <v>K</v>
      </c>
      <c r="W311" s="3">
        <v>141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G</v>
      </c>
      <c r="AC311" s="3">
        <v>149</v>
      </c>
      <c r="AD311" s="3" t="str">
        <f>IFERROR(MID(VLOOKUP($B311,Seqs!$A:$B,2,0),AE311,1),"")</f>
        <v>V</v>
      </c>
      <c r="AE311" s="3">
        <v>173</v>
      </c>
      <c r="AF311" s="3" t="str">
        <f>IFERROR(MID(VLOOKUP($B311,Seqs!$A:$B,2,0),AG311,1),"")</f>
        <v>C</v>
      </c>
      <c r="AG311" s="3">
        <v>187</v>
      </c>
      <c r="AH311" s="3" t="str">
        <f>IFERROR(MID(VLOOKUP($B311,Seqs!$A:$B,2,0),AI311,1),"")</f>
        <v>I</v>
      </c>
      <c r="AI311" s="3">
        <v>189</v>
      </c>
      <c r="AJ311" s="3" t="str">
        <f>IFERROR(MID(VLOOKUP($B311,Seqs!$A:$B,2,0),AK311,1),"")</f>
        <v>N</v>
      </c>
      <c r="AK311" s="3">
        <v>199</v>
      </c>
      <c r="AL311" s="3" t="str">
        <f>IFERROR(MID(VLOOKUP($B311,Seqs!$A:$B,2,0),AM311,1),"")</f>
        <v>Q</v>
      </c>
      <c r="AM311" s="3">
        <v>236</v>
      </c>
      <c r="AN311" s="3" t="str">
        <f>IFERROR(MID(VLOOKUP($B311,Seqs!$A:$B,2,0),AO311,1),"")</f>
        <v>S</v>
      </c>
      <c r="AO311" s="3">
        <v>240</v>
      </c>
      <c r="AP311" s="3" t="str">
        <f>IFERROR(MID(VLOOKUP($B311,Seqs!$A:$B,2,0),AQ311,1),"")</f>
        <v>H</v>
      </c>
      <c r="AQ311" s="3">
        <v>278</v>
      </c>
      <c r="AR311" s="3" t="str">
        <f>IFERROR(MID(VLOOKUP($B311,Seqs!$A:$B,2,0),AS311,1),"")</f>
        <v>T</v>
      </c>
      <c r="AS311" s="3">
        <v>289</v>
      </c>
      <c r="AT311" s="3" t="str">
        <f>IFERROR(MID(VLOOKUP($B311,Seqs!$A:$B,2,0),AU311,1),"")</f>
        <v>M</v>
      </c>
      <c r="AU311" s="3">
        <v>309</v>
      </c>
      <c r="AV311" s="3" t="str">
        <f>IFERROR(MID(VLOOKUP($B311,Seqs!$A:$B,2,0),AW311,1),"")</f>
        <v>N</v>
      </c>
      <c r="AW311" s="3">
        <v>310</v>
      </c>
      <c r="AX311" s="3" t="str">
        <f>IFERROR(MID(VLOOKUP($B311,Seqs!$A:$B,2,0),AY311,1),"")</f>
        <v>C</v>
      </c>
      <c r="AY311" s="3">
        <v>322</v>
      </c>
      <c r="AZ311" s="77" t="str">
        <f>VLOOKUP(B311,Classification!A:D,2,0)</f>
        <v>A</v>
      </c>
      <c r="BA311" s="94" t="str">
        <f>VLOOKUP(B311,Classification!A:D,4,0)</f>
        <v>Opsins</v>
      </c>
      <c r="BB311" s="27" t="b">
        <f t="shared" si="2544"/>
        <v>1</v>
      </c>
      <c r="BC311" s="23">
        <f t="shared" si="2545"/>
        <v>245</v>
      </c>
      <c r="BD311" s="2" t="s">
        <v>23</v>
      </c>
      <c r="BE311" s="3" t="s">
        <v>1285</v>
      </c>
      <c r="BF311" s="118">
        <v>2.87</v>
      </c>
      <c r="BG311" s="49" t="s">
        <v>1</v>
      </c>
      <c r="BH311" s="49" t="s">
        <v>1</v>
      </c>
      <c r="BI311" s="1"/>
      <c r="BJ311" s="70" t="s">
        <v>1281</v>
      </c>
      <c r="BK311" s="57" t="s">
        <v>1281</v>
      </c>
      <c r="BL311" s="57" t="s">
        <v>1281</v>
      </c>
      <c r="BM311" s="57" t="s">
        <v>1281</v>
      </c>
      <c r="BN311" s="57" t="s">
        <v>1281</v>
      </c>
      <c r="BO311" s="57" t="s">
        <v>1281</v>
      </c>
      <c r="BP311" s="57" t="s">
        <v>1281</v>
      </c>
      <c r="BQ311" s="57" t="s">
        <v>1281</v>
      </c>
      <c r="BR311" s="57" t="s">
        <v>1281</v>
      </c>
      <c r="BS311" s="57" t="s">
        <v>1281</v>
      </c>
      <c r="BT311" s="57" t="s">
        <v>1281</v>
      </c>
      <c r="BU311" s="57" t="s">
        <v>1281</v>
      </c>
      <c r="BV311" s="70">
        <f t="shared" si="2546"/>
        <v>33</v>
      </c>
      <c r="BW311" s="71">
        <f t="shared" si="2547"/>
        <v>66</v>
      </c>
      <c r="BX311" s="72">
        <f t="shared" si="2548"/>
        <v>73</v>
      </c>
      <c r="BY311" s="71">
        <f t="shared" si="2549"/>
        <v>102</v>
      </c>
      <c r="BZ311" s="72">
        <f t="shared" si="2550"/>
        <v>106</v>
      </c>
      <c r="CA311" s="71" t="str">
        <f t="shared" si="2551"/>
        <v>-</v>
      </c>
      <c r="CB311" s="72">
        <f t="shared" si="2552"/>
        <v>149</v>
      </c>
      <c r="CC311" s="71">
        <f t="shared" si="2553"/>
        <v>187</v>
      </c>
      <c r="CD311" s="72">
        <f t="shared" si="2554"/>
        <v>199</v>
      </c>
      <c r="CE311" s="71">
        <f t="shared" si="2555"/>
        <v>240</v>
      </c>
      <c r="CF311" s="72">
        <f t="shared" si="2556"/>
        <v>289</v>
      </c>
      <c r="CG311" s="71">
        <f t="shared" si="2557"/>
        <v>310</v>
      </c>
      <c r="CH311" s="70">
        <f t="shared" si="2558"/>
        <v>64</v>
      </c>
      <c r="CI311" s="71">
        <f t="shared" si="2559"/>
        <v>69</v>
      </c>
      <c r="CJ311" s="72">
        <f t="shared" si="2560"/>
        <v>101</v>
      </c>
      <c r="CK311" s="72">
        <f t="shared" si="2561"/>
        <v>105</v>
      </c>
      <c r="CL311" s="72">
        <f t="shared" si="2562"/>
        <v>141</v>
      </c>
      <c r="CM311" s="72" t="str">
        <f t="shared" si="2563"/>
        <v>-</v>
      </c>
      <c r="CN311" s="72">
        <f t="shared" si="2564"/>
        <v>173</v>
      </c>
      <c r="CO311" s="72">
        <f t="shared" si="2565"/>
        <v>189</v>
      </c>
      <c r="CP311" s="72">
        <f t="shared" si="2566"/>
        <v>236</v>
      </c>
      <c r="CQ311" s="72">
        <f t="shared" si="2567"/>
        <v>278</v>
      </c>
      <c r="CR311" s="72">
        <f t="shared" si="2568"/>
        <v>309</v>
      </c>
      <c r="CS311" s="72">
        <f t="shared" si="2569"/>
        <v>322</v>
      </c>
      <c r="CT311" s="23">
        <f t="shared" si="2570"/>
        <v>4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2543"/>
        <v>opsd_bovin_6FK9</v>
      </c>
      <c r="B312" s="3" t="s">
        <v>913</v>
      </c>
      <c r="C312" s="3" t="s">
        <v>1478</v>
      </c>
      <c r="D312" s="3" t="str">
        <f>IFERROR(MID(VLOOKUP($B312,Seqs!$A:$B,2,0),E312,1),"")</f>
        <v>E</v>
      </c>
      <c r="E312" s="3">
        <v>33</v>
      </c>
      <c r="F312" s="3" t="str">
        <f>IFERROR(MID(VLOOKUP($B312,Seqs!$A:$B,2,0),G312,1),"")</f>
        <v>Q</v>
      </c>
      <c r="G312" s="3">
        <v>64</v>
      </c>
      <c r="H312" s="3" t="str">
        <f>IFERROR(MID(VLOOKUP($B312,Seqs!$A:$B,2,0),I312,1),"")</f>
        <v>K</v>
      </c>
      <c r="I312" s="23">
        <v>66</v>
      </c>
      <c r="J312" s="3" t="str">
        <f>IFERROR(MID(VLOOKUP($B312,Seqs!$A:$B,2,0),K312,1),"")</f>
        <v>R</v>
      </c>
      <c r="K312" s="23">
        <v>69</v>
      </c>
      <c r="L312" s="3" t="str">
        <f>IFERROR(MID(VLOOKUP($B312,Seqs!$A:$B,2,0),M312,1),"")</f>
        <v>N</v>
      </c>
      <c r="M312" s="3">
        <v>73</v>
      </c>
      <c r="N312" s="3" t="str">
        <f>IFERROR(MID(VLOOKUP($B312,Seqs!$A:$B,2,0),O312,1),"")</f>
        <v>G</v>
      </c>
      <c r="O312" s="3">
        <v>101</v>
      </c>
      <c r="P312" s="3" t="str">
        <f>IFERROR(MID(VLOOKUP($B312,Seqs!$A:$B,2,0),Q312,1),"")</f>
        <v>Y</v>
      </c>
      <c r="Q312" s="3">
        <v>102</v>
      </c>
      <c r="R312" s="3" t="str">
        <f>IFERROR(MID(VLOOKUP($B312,Seqs!$A:$B,2,0),S312,1),"")</f>
        <v>F</v>
      </c>
      <c r="S312" s="3">
        <v>105</v>
      </c>
      <c r="T312" s="3" t="str">
        <f>IFERROR(MID(VLOOKUP($B312,Seqs!$A:$B,2,0),U312,1),"")</f>
        <v>G</v>
      </c>
      <c r="U312" s="3">
        <v>106</v>
      </c>
      <c r="V312" s="3" t="str">
        <f>IFERROR(MID(VLOOKUP($B312,Seqs!$A:$B,2,0),W312,1),"")</f>
        <v>K</v>
      </c>
      <c r="W312" s="3">
        <v>141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G</v>
      </c>
      <c r="AC312" s="3">
        <v>149</v>
      </c>
      <c r="AD312" s="3" t="str">
        <f>IFERROR(MID(VLOOKUP($B312,Seqs!$A:$B,2,0),AE312,1),"")</f>
        <v>V</v>
      </c>
      <c r="AE312" s="3">
        <v>173</v>
      </c>
      <c r="AF312" s="3" t="str">
        <f>IFERROR(MID(VLOOKUP($B312,Seqs!$A:$B,2,0),AG312,1),"")</f>
        <v>C</v>
      </c>
      <c r="AG312" s="3">
        <v>187</v>
      </c>
      <c r="AH312" s="3" t="str">
        <f>IFERROR(MID(VLOOKUP($B312,Seqs!$A:$B,2,0),AI312,1),"")</f>
        <v>I</v>
      </c>
      <c r="AI312" s="3">
        <v>189</v>
      </c>
      <c r="AJ312" s="3" t="str">
        <f>IFERROR(MID(VLOOKUP($B312,Seqs!$A:$B,2,0),AK312,1),"")</f>
        <v>N</v>
      </c>
      <c r="AK312" s="3">
        <v>199</v>
      </c>
      <c r="AL312" s="3" t="str">
        <f>IFERROR(MID(VLOOKUP($B312,Seqs!$A:$B,2,0),AM312,1),"")</f>
        <v>Q</v>
      </c>
      <c r="AM312" s="3">
        <v>236</v>
      </c>
      <c r="AN312" s="3" t="str">
        <f>IFERROR(MID(VLOOKUP($B312,Seqs!$A:$B,2,0),AO312,1),"")</f>
        <v>S</v>
      </c>
      <c r="AO312" s="3">
        <v>240</v>
      </c>
      <c r="AP312" s="3" t="str">
        <f>IFERROR(MID(VLOOKUP($B312,Seqs!$A:$B,2,0),AQ312,1),"")</f>
        <v>H</v>
      </c>
      <c r="AQ312" s="3">
        <v>278</v>
      </c>
      <c r="AR312" s="3" t="str">
        <f>IFERROR(MID(VLOOKUP($B312,Seqs!$A:$B,2,0),AS312,1),"")</f>
        <v>G</v>
      </c>
      <c r="AS312" s="3">
        <v>284</v>
      </c>
      <c r="AT312" s="3" t="str">
        <f>IFERROR(MID(VLOOKUP($B312,Seqs!$A:$B,2,0),AU312,1),"")</f>
        <v>M</v>
      </c>
      <c r="AU312" s="3">
        <v>309</v>
      </c>
      <c r="AV312" s="3" t="str">
        <f>IFERROR(MID(VLOOKUP($B312,Seqs!$A:$B,2,0),AW312,1),"")</f>
        <v>N</v>
      </c>
      <c r="AW312" s="3">
        <v>310</v>
      </c>
      <c r="AX312" s="3" t="str">
        <f>IFERROR(MID(VLOOKUP($B312,Seqs!$A:$B,2,0),AY312,1),"")</f>
        <v>C</v>
      </c>
      <c r="AY312" s="3">
        <v>322</v>
      </c>
      <c r="AZ312" s="77" t="str">
        <f>VLOOKUP(B312,Classification!A:D,2,0)</f>
        <v>A</v>
      </c>
      <c r="BA312" s="94" t="str">
        <f>VLOOKUP(B312,Classification!A:D,4,0)</f>
        <v>Opsins</v>
      </c>
      <c r="BB312" s="27" t="b">
        <f t="shared" si="2544"/>
        <v>1</v>
      </c>
      <c r="BC312" s="23">
        <f t="shared" si="2545"/>
        <v>250</v>
      </c>
      <c r="BD312" s="2" t="s">
        <v>23</v>
      </c>
      <c r="BE312" s="3" t="s">
        <v>1285</v>
      </c>
      <c r="BF312" s="118">
        <v>2.63</v>
      </c>
      <c r="BG312" s="49" t="s">
        <v>1</v>
      </c>
      <c r="BH312" s="49" t="s">
        <v>1</v>
      </c>
      <c r="BI312" s="1"/>
      <c r="BJ312" s="70" t="s">
        <v>1281</v>
      </c>
      <c r="BK312" s="57" t="s">
        <v>1281</v>
      </c>
      <c r="BL312" s="57" t="s">
        <v>1281</v>
      </c>
      <c r="BM312" s="57" t="s">
        <v>1281</v>
      </c>
      <c r="BN312" s="57" t="s">
        <v>1281</v>
      </c>
      <c r="BO312" s="57" t="s">
        <v>1281</v>
      </c>
      <c r="BP312" s="57" t="s">
        <v>1281</v>
      </c>
      <c r="BQ312" s="57" t="s">
        <v>1281</v>
      </c>
      <c r="BR312" s="57" t="s">
        <v>1281</v>
      </c>
      <c r="BS312" s="57" t="s">
        <v>1281</v>
      </c>
      <c r="BT312" s="57" t="s">
        <v>1281</v>
      </c>
      <c r="BU312" s="57" t="s">
        <v>1281</v>
      </c>
      <c r="BV312" s="70">
        <f t="shared" si="2546"/>
        <v>33</v>
      </c>
      <c r="BW312" s="71">
        <f t="shared" si="2547"/>
        <v>66</v>
      </c>
      <c r="BX312" s="72">
        <f t="shared" si="2548"/>
        <v>73</v>
      </c>
      <c r="BY312" s="71">
        <f t="shared" si="2549"/>
        <v>102</v>
      </c>
      <c r="BZ312" s="72">
        <f t="shared" si="2550"/>
        <v>106</v>
      </c>
      <c r="CA312" s="71" t="str">
        <f t="shared" si="2551"/>
        <v>-</v>
      </c>
      <c r="CB312" s="72">
        <f t="shared" si="2552"/>
        <v>149</v>
      </c>
      <c r="CC312" s="71">
        <f t="shared" si="2553"/>
        <v>187</v>
      </c>
      <c r="CD312" s="72">
        <f t="shared" si="2554"/>
        <v>199</v>
      </c>
      <c r="CE312" s="71">
        <f t="shared" si="2555"/>
        <v>240</v>
      </c>
      <c r="CF312" s="72">
        <f t="shared" si="2556"/>
        <v>284</v>
      </c>
      <c r="CG312" s="71">
        <f t="shared" si="2557"/>
        <v>310</v>
      </c>
      <c r="CH312" s="70">
        <f t="shared" si="2558"/>
        <v>64</v>
      </c>
      <c r="CI312" s="71">
        <f t="shared" si="2559"/>
        <v>69</v>
      </c>
      <c r="CJ312" s="72">
        <f t="shared" si="2560"/>
        <v>101</v>
      </c>
      <c r="CK312" s="72">
        <f t="shared" si="2561"/>
        <v>105</v>
      </c>
      <c r="CL312" s="72">
        <f t="shared" si="2562"/>
        <v>141</v>
      </c>
      <c r="CM312" s="72" t="str">
        <f t="shared" si="2563"/>
        <v>-</v>
      </c>
      <c r="CN312" s="72">
        <f t="shared" si="2564"/>
        <v>173</v>
      </c>
      <c r="CO312" s="72">
        <f t="shared" si="2565"/>
        <v>189</v>
      </c>
      <c r="CP312" s="72">
        <f t="shared" si="2566"/>
        <v>236</v>
      </c>
      <c r="CQ312" s="72">
        <f t="shared" si="2567"/>
        <v>278</v>
      </c>
      <c r="CR312" s="72">
        <f t="shared" si="2568"/>
        <v>309</v>
      </c>
      <c r="CS312" s="72">
        <f t="shared" si="2569"/>
        <v>322</v>
      </c>
      <c r="CT312" s="23">
        <f t="shared" si="2570"/>
        <v>4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2543"/>
        <v>opsd_bovin_6FKA</v>
      </c>
      <c r="B313" s="3" t="s">
        <v>913</v>
      </c>
      <c r="C313" s="3" t="s">
        <v>1479</v>
      </c>
      <c r="D313" s="3" t="str">
        <f>IFERROR(MID(VLOOKUP($B313,Seqs!$A:$B,2,0),E313,1),"")</f>
        <v>E</v>
      </c>
      <c r="E313" s="3">
        <v>33</v>
      </c>
      <c r="F313" s="3" t="str">
        <f>IFERROR(MID(VLOOKUP($B313,Seqs!$A:$B,2,0),G313,1),"")</f>
        <v>Q</v>
      </c>
      <c r="G313" s="3">
        <v>64</v>
      </c>
      <c r="H313" s="3" t="str">
        <f>IFERROR(MID(VLOOKUP($B313,Seqs!$A:$B,2,0),I313,1),"")</f>
        <v>K</v>
      </c>
      <c r="I313" s="23">
        <v>66</v>
      </c>
      <c r="J313" s="3" t="str">
        <f>IFERROR(MID(VLOOKUP($B313,Seqs!$A:$B,2,0),K313,1),"")</f>
        <v>R</v>
      </c>
      <c r="K313" s="23">
        <v>69</v>
      </c>
      <c r="L313" s="3" t="str">
        <f>IFERROR(MID(VLOOKUP($B313,Seqs!$A:$B,2,0),M313,1),"")</f>
        <v>N</v>
      </c>
      <c r="M313" s="3">
        <v>73</v>
      </c>
      <c r="N313" s="3" t="str">
        <f>IFERROR(MID(VLOOKUP($B313,Seqs!$A:$B,2,0),O313,1),"")</f>
        <v>G</v>
      </c>
      <c r="O313" s="3">
        <v>101</v>
      </c>
      <c r="P313" s="3" t="str">
        <f>IFERROR(MID(VLOOKUP($B313,Seqs!$A:$B,2,0),Q313,1),"")</f>
        <v>Y</v>
      </c>
      <c r="Q313" s="3">
        <v>102</v>
      </c>
      <c r="R313" s="3" t="str">
        <f>IFERROR(MID(VLOOKUP($B313,Seqs!$A:$B,2,0),S313,1),"")</f>
        <v>F</v>
      </c>
      <c r="S313" s="3">
        <v>105</v>
      </c>
      <c r="T313" s="3" t="str">
        <f>IFERROR(MID(VLOOKUP($B313,Seqs!$A:$B,2,0),U313,1),"")</f>
        <v>G</v>
      </c>
      <c r="U313" s="3">
        <v>106</v>
      </c>
      <c r="V313" s="3" t="str">
        <f>IFERROR(MID(VLOOKUP($B313,Seqs!$A:$B,2,0),W313,1),"")</f>
        <v>K</v>
      </c>
      <c r="W313" s="3">
        <v>141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G</v>
      </c>
      <c r="AC313" s="3">
        <v>149</v>
      </c>
      <c r="AD313" s="3" t="str">
        <f>IFERROR(MID(VLOOKUP($B313,Seqs!$A:$B,2,0),AE313,1),"")</f>
        <v>V</v>
      </c>
      <c r="AE313" s="3">
        <v>173</v>
      </c>
      <c r="AF313" s="3" t="str">
        <f>IFERROR(MID(VLOOKUP($B313,Seqs!$A:$B,2,0),AG313,1),"")</f>
        <v>C</v>
      </c>
      <c r="AG313" s="3">
        <v>187</v>
      </c>
      <c r="AH313" s="3" t="str">
        <f>IFERROR(MID(VLOOKUP($B313,Seqs!$A:$B,2,0),AI313,1),"")</f>
        <v>I</v>
      </c>
      <c r="AI313" s="3">
        <v>189</v>
      </c>
      <c r="AJ313" s="3" t="str">
        <f>IFERROR(MID(VLOOKUP($B313,Seqs!$A:$B,2,0),AK313,1),"")</f>
        <v>N</v>
      </c>
      <c r="AK313" s="3">
        <v>199</v>
      </c>
      <c r="AL313" s="3" t="str">
        <f>IFERROR(MID(VLOOKUP($B313,Seqs!$A:$B,2,0),AM313,1),"")</f>
        <v>Q</v>
      </c>
      <c r="AM313" s="3">
        <v>236</v>
      </c>
      <c r="AN313" s="3" t="str">
        <f>IFERROR(MID(VLOOKUP($B313,Seqs!$A:$B,2,0),AO313,1),"")</f>
        <v>S</v>
      </c>
      <c r="AO313" s="3">
        <v>240</v>
      </c>
      <c r="AP313" s="3" t="str">
        <f>IFERROR(MID(VLOOKUP($B313,Seqs!$A:$B,2,0),AQ313,1),"")</f>
        <v>H</v>
      </c>
      <c r="AQ313" s="3">
        <v>278</v>
      </c>
      <c r="AR313" s="3" t="str">
        <f>IFERROR(MID(VLOOKUP($B313,Seqs!$A:$B,2,0),AS313,1),"")</f>
        <v>G</v>
      </c>
      <c r="AS313" s="3">
        <v>284</v>
      </c>
      <c r="AT313" s="3" t="str">
        <f>IFERROR(MID(VLOOKUP($B313,Seqs!$A:$B,2,0),AU313,1),"")</f>
        <v>M</v>
      </c>
      <c r="AU313" s="3">
        <v>309</v>
      </c>
      <c r="AV313" s="3" t="str">
        <f>IFERROR(MID(VLOOKUP($B313,Seqs!$A:$B,2,0),AW313,1),"")</f>
        <v>N</v>
      </c>
      <c r="AW313" s="3">
        <v>310</v>
      </c>
      <c r="AX313" s="3" t="str">
        <f>IFERROR(MID(VLOOKUP($B313,Seqs!$A:$B,2,0),AY313,1),"")</f>
        <v>C</v>
      </c>
      <c r="AY313" s="3">
        <v>322</v>
      </c>
      <c r="AZ313" s="77" t="str">
        <f>VLOOKUP(B313,Classification!A:D,2,0)</f>
        <v>A</v>
      </c>
      <c r="BA313" s="94" t="str">
        <f>VLOOKUP(B313,Classification!A:D,4,0)</f>
        <v>Opsins</v>
      </c>
      <c r="BB313" s="27" t="b">
        <f t="shared" si="2544"/>
        <v>1</v>
      </c>
      <c r="BC313" s="23">
        <f t="shared" si="2545"/>
        <v>250</v>
      </c>
      <c r="BD313" s="2" t="s">
        <v>23</v>
      </c>
      <c r="BE313" s="3" t="s">
        <v>1285</v>
      </c>
      <c r="BF313" s="118">
        <v>2.7</v>
      </c>
      <c r="BG313" s="49" t="s">
        <v>1</v>
      </c>
      <c r="BH313" s="49" t="s">
        <v>1</v>
      </c>
      <c r="BI313" s="1"/>
      <c r="BJ313" s="70" t="s">
        <v>1281</v>
      </c>
      <c r="BK313" s="57" t="s">
        <v>1281</v>
      </c>
      <c r="BL313" s="57" t="s">
        <v>1281</v>
      </c>
      <c r="BM313" s="57" t="s">
        <v>1281</v>
      </c>
      <c r="BN313" s="57" t="s">
        <v>1281</v>
      </c>
      <c r="BO313" s="57" t="s">
        <v>1281</v>
      </c>
      <c r="BP313" s="57" t="s">
        <v>1281</v>
      </c>
      <c r="BQ313" s="57" t="s">
        <v>1281</v>
      </c>
      <c r="BR313" s="57" t="s">
        <v>1281</v>
      </c>
      <c r="BS313" s="57" t="s">
        <v>1281</v>
      </c>
      <c r="BT313" s="57" t="s">
        <v>1281</v>
      </c>
      <c r="BU313" s="57" t="s">
        <v>1281</v>
      </c>
      <c r="BV313" s="70">
        <f t="shared" si="2546"/>
        <v>33</v>
      </c>
      <c r="BW313" s="71">
        <f t="shared" si="2547"/>
        <v>66</v>
      </c>
      <c r="BX313" s="72">
        <f t="shared" si="2548"/>
        <v>73</v>
      </c>
      <c r="BY313" s="71">
        <f t="shared" si="2549"/>
        <v>102</v>
      </c>
      <c r="BZ313" s="72">
        <f t="shared" si="2550"/>
        <v>106</v>
      </c>
      <c r="CA313" s="71" t="str">
        <f t="shared" si="2551"/>
        <v>-</v>
      </c>
      <c r="CB313" s="72">
        <f t="shared" si="2552"/>
        <v>149</v>
      </c>
      <c r="CC313" s="71">
        <f t="shared" si="2553"/>
        <v>187</v>
      </c>
      <c r="CD313" s="72">
        <f t="shared" si="2554"/>
        <v>199</v>
      </c>
      <c r="CE313" s="71">
        <f t="shared" si="2555"/>
        <v>240</v>
      </c>
      <c r="CF313" s="72">
        <f t="shared" si="2556"/>
        <v>284</v>
      </c>
      <c r="CG313" s="71">
        <f t="shared" si="2557"/>
        <v>310</v>
      </c>
      <c r="CH313" s="70">
        <f t="shared" si="2558"/>
        <v>64</v>
      </c>
      <c r="CI313" s="71">
        <f t="shared" si="2559"/>
        <v>69</v>
      </c>
      <c r="CJ313" s="72">
        <f t="shared" si="2560"/>
        <v>101</v>
      </c>
      <c r="CK313" s="72">
        <f t="shared" si="2561"/>
        <v>105</v>
      </c>
      <c r="CL313" s="72">
        <f t="shared" si="2562"/>
        <v>141</v>
      </c>
      <c r="CM313" s="72" t="str">
        <f t="shared" si="2563"/>
        <v>-</v>
      </c>
      <c r="CN313" s="72">
        <f t="shared" si="2564"/>
        <v>173</v>
      </c>
      <c r="CO313" s="72">
        <f t="shared" si="2565"/>
        <v>189</v>
      </c>
      <c r="CP313" s="72">
        <f t="shared" si="2566"/>
        <v>236</v>
      </c>
      <c r="CQ313" s="72">
        <f t="shared" si="2567"/>
        <v>278</v>
      </c>
      <c r="CR313" s="72">
        <f t="shared" si="2568"/>
        <v>309</v>
      </c>
      <c r="CS313" s="72">
        <f t="shared" si="2569"/>
        <v>322</v>
      </c>
      <c r="CT313" s="23">
        <f t="shared" si="2570"/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2543"/>
        <v>opsd_bovin_6FKB</v>
      </c>
      <c r="B314" s="3" t="s">
        <v>913</v>
      </c>
      <c r="C314" s="3" t="s">
        <v>1480</v>
      </c>
      <c r="D314" s="3" t="str">
        <f>IFERROR(MID(VLOOKUP($B314,Seqs!$A:$B,2,0),E314,1),"")</f>
        <v>E</v>
      </c>
      <c r="E314" s="3">
        <v>33</v>
      </c>
      <c r="F314" s="3" t="str">
        <f>IFERROR(MID(VLOOKUP($B314,Seqs!$A:$B,2,0),G314,1),"")</f>
        <v>Q</v>
      </c>
      <c r="G314" s="3">
        <v>64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N</v>
      </c>
      <c r="M314" s="3">
        <v>73</v>
      </c>
      <c r="N314" s="3" t="str">
        <f>IFERROR(MID(VLOOKUP($B314,Seqs!$A:$B,2,0),O314,1),"")</f>
        <v>G</v>
      </c>
      <c r="O314" s="3">
        <v>101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G</v>
      </c>
      <c r="AC314" s="3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236</v>
      </c>
      <c r="AN314" s="3" t="str">
        <f>IFERROR(MID(VLOOKUP($B314,Seqs!$A:$B,2,0),AO314,1),"")</f>
        <v>S</v>
      </c>
      <c r="AO314" s="3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2544"/>
        <v>1</v>
      </c>
      <c r="BC314" s="23">
        <f t="shared" si="2545"/>
        <v>250</v>
      </c>
      <c r="BD314" s="2" t="s">
        <v>23</v>
      </c>
      <c r="BE314" s="3" t="s">
        <v>1285</v>
      </c>
      <c r="BF314" s="118">
        <v>3.03</v>
      </c>
      <c r="BG314" s="49" t="s">
        <v>1</v>
      </c>
      <c r="BH314" s="49" t="s">
        <v>1</v>
      </c>
      <c r="BI314" s="1"/>
      <c r="BJ314" s="70" t="s">
        <v>1281</v>
      </c>
      <c r="BK314" s="57" t="s">
        <v>1281</v>
      </c>
      <c r="BL314" s="57" t="s">
        <v>1281</v>
      </c>
      <c r="BM314" s="57" t="s">
        <v>1281</v>
      </c>
      <c r="BN314" s="57" t="s">
        <v>1281</v>
      </c>
      <c r="BO314" s="57" t="s">
        <v>1281</v>
      </c>
      <c r="BP314" s="57" t="s">
        <v>1281</v>
      </c>
      <c r="BQ314" s="57" t="s">
        <v>1281</v>
      </c>
      <c r="BR314" s="57" t="s">
        <v>1281</v>
      </c>
      <c r="BS314" s="57" t="s">
        <v>1281</v>
      </c>
      <c r="BT314" s="57" t="s">
        <v>1281</v>
      </c>
      <c r="BU314" s="57" t="s">
        <v>1281</v>
      </c>
      <c r="BV314" s="70">
        <f t="shared" si="2546"/>
        <v>33</v>
      </c>
      <c r="BW314" s="71">
        <f t="shared" si="2547"/>
        <v>66</v>
      </c>
      <c r="BX314" s="72">
        <f t="shared" si="2548"/>
        <v>73</v>
      </c>
      <c r="BY314" s="71">
        <f t="shared" si="2549"/>
        <v>102</v>
      </c>
      <c r="BZ314" s="72">
        <f t="shared" si="2550"/>
        <v>106</v>
      </c>
      <c r="CA314" s="71" t="str">
        <f t="shared" si="2551"/>
        <v>-</v>
      </c>
      <c r="CB314" s="72">
        <f t="shared" si="2552"/>
        <v>149</v>
      </c>
      <c r="CC314" s="71">
        <f t="shared" si="2553"/>
        <v>187</v>
      </c>
      <c r="CD314" s="72">
        <f t="shared" si="2554"/>
        <v>199</v>
      </c>
      <c r="CE314" s="71">
        <f t="shared" si="2555"/>
        <v>240</v>
      </c>
      <c r="CF314" s="72">
        <f t="shared" si="2556"/>
        <v>284</v>
      </c>
      <c r="CG314" s="71">
        <f t="shared" si="2557"/>
        <v>310</v>
      </c>
      <c r="CH314" s="70">
        <f t="shared" si="2558"/>
        <v>64</v>
      </c>
      <c r="CI314" s="71">
        <f t="shared" si="2559"/>
        <v>69</v>
      </c>
      <c r="CJ314" s="72">
        <f t="shared" si="2560"/>
        <v>101</v>
      </c>
      <c r="CK314" s="72">
        <f t="shared" si="2561"/>
        <v>105</v>
      </c>
      <c r="CL314" s="72">
        <f t="shared" si="2562"/>
        <v>141</v>
      </c>
      <c r="CM314" s="72" t="str">
        <f t="shared" si="2563"/>
        <v>-</v>
      </c>
      <c r="CN314" s="72">
        <f t="shared" si="2564"/>
        <v>173</v>
      </c>
      <c r="CO314" s="72">
        <f t="shared" si="2565"/>
        <v>189</v>
      </c>
      <c r="CP314" s="72">
        <f t="shared" si="2566"/>
        <v>236</v>
      </c>
      <c r="CQ314" s="72">
        <f t="shared" si="2567"/>
        <v>278</v>
      </c>
      <c r="CR314" s="72">
        <f t="shared" si="2568"/>
        <v>309</v>
      </c>
      <c r="CS314" s="72">
        <f t="shared" si="2569"/>
        <v>322</v>
      </c>
      <c r="CT314" s="23">
        <f t="shared" si="2570"/>
        <v>4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2543"/>
        <v>opsd_bovin_6FKC</v>
      </c>
      <c r="B315" s="3" t="s">
        <v>913</v>
      </c>
      <c r="C315" s="3" t="s">
        <v>1481</v>
      </c>
      <c r="D315" s="3" t="str">
        <f>IFERROR(MID(VLOOKUP($B315,Seqs!$A:$B,2,0),E315,1),"")</f>
        <v>E</v>
      </c>
      <c r="E315" s="3">
        <v>33</v>
      </c>
      <c r="F315" s="3" t="str">
        <f>IFERROR(MID(VLOOKUP($B315,Seqs!$A:$B,2,0),G315,1),"")</f>
        <v>Q</v>
      </c>
      <c r="G315" s="3">
        <v>64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N</v>
      </c>
      <c r="M315" s="3">
        <v>73</v>
      </c>
      <c r="N315" s="3" t="str">
        <f>IFERROR(MID(VLOOKUP($B315,Seqs!$A:$B,2,0),O315,1),"")</f>
        <v>G</v>
      </c>
      <c r="O315" s="3">
        <v>101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3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Q</v>
      </c>
      <c r="AM315" s="3">
        <v>236</v>
      </c>
      <c r="AN315" s="3" t="str">
        <f>IFERROR(MID(VLOOKUP($B315,Seqs!$A:$B,2,0),AO315,1),"")</f>
        <v>S</v>
      </c>
      <c r="AO315" s="3">
        <v>240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T</v>
      </c>
      <c r="AS315" s="3">
        <v>289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2544"/>
        <v>1</v>
      </c>
      <c r="BC315" s="23">
        <f t="shared" si="2545"/>
        <v>245</v>
      </c>
      <c r="BD315" s="2" t="s">
        <v>23</v>
      </c>
      <c r="BE315" s="3" t="s">
        <v>1285</v>
      </c>
      <c r="BF315" s="118">
        <v>2.46</v>
      </c>
      <c r="BG315" s="49" t="s">
        <v>1</v>
      </c>
      <c r="BH315" s="49" t="s">
        <v>1</v>
      </c>
      <c r="BI315" s="1"/>
      <c r="BJ315" s="70" t="s">
        <v>1281</v>
      </c>
      <c r="BK315" s="57" t="s">
        <v>1281</v>
      </c>
      <c r="BL315" s="57" t="s">
        <v>1281</v>
      </c>
      <c r="BM315" s="57" t="s">
        <v>1281</v>
      </c>
      <c r="BN315" s="57" t="s">
        <v>1281</v>
      </c>
      <c r="BO315" s="57" t="s">
        <v>1281</v>
      </c>
      <c r="BP315" s="57" t="s">
        <v>1281</v>
      </c>
      <c r="BQ315" s="57" t="s">
        <v>1281</v>
      </c>
      <c r="BR315" s="57" t="s">
        <v>1281</v>
      </c>
      <c r="BS315" s="57" t="s">
        <v>1281</v>
      </c>
      <c r="BT315" s="57" t="s">
        <v>1281</v>
      </c>
      <c r="BU315" s="57" t="s">
        <v>1281</v>
      </c>
      <c r="BV315" s="70">
        <f t="shared" si="2546"/>
        <v>33</v>
      </c>
      <c r="BW315" s="71">
        <f t="shared" si="2547"/>
        <v>66</v>
      </c>
      <c r="BX315" s="72">
        <f t="shared" si="2548"/>
        <v>73</v>
      </c>
      <c r="BY315" s="71">
        <f t="shared" si="2549"/>
        <v>102</v>
      </c>
      <c r="BZ315" s="72">
        <f t="shared" si="2550"/>
        <v>106</v>
      </c>
      <c r="CA315" s="71" t="str">
        <f t="shared" si="2551"/>
        <v>-</v>
      </c>
      <c r="CB315" s="72">
        <f t="shared" si="2552"/>
        <v>149</v>
      </c>
      <c r="CC315" s="71">
        <f t="shared" si="2553"/>
        <v>187</v>
      </c>
      <c r="CD315" s="72">
        <f t="shared" si="2554"/>
        <v>199</v>
      </c>
      <c r="CE315" s="71">
        <f t="shared" si="2555"/>
        <v>240</v>
      </c>
      <c r="CF315" s="72">
        <f t="shared" si="2556"/>
        <v>289</v>
      </c>
      <c r="CG315" s="71">
        <f t="shared" si="2557"/>
        <v>310</v>
      </c>
      <c r="CH315" s="70">
        <f t="shared" si="2558"/>
        <v>64</v>
      </c>
      <c r="CI315" s="71">
        <f t="shared" si="2559"/>
        <v>69</v>
      </c>
      <c r="CJ315" s="72">
        <f t="shared" si="2560"/>
        <v>101</v>
      </c>
      <c r="CK315" s="72">
        <f t="shared" si="2561"/>
        <v>105</v>
      </c>
      <c r="CL315" s="72">
        <f t="shared" si="2562"/>
        <v>141</v>
      </c>
      <c r="CM315" s="72" t="str">
        <f t="shared" si="2563"/>
        <v>-</v>
      </c>
      <c r="CN315" s="72">
        <f t="shared" si="2564"/>
        <v>173</v>
      </c>
      <c r="CO315" s="72">
        <f t="shared" si="2565"/>
        <v>189</v>
      </c>
      <c r="CP315" s="72">
        <f t="shared" si="2566"/>
        <v>236</v>
      </c>
      <c r="CQ315" s="72">
        <f t="shared" si="2567"/>
        <v>278</v>
      </c>
      <c r="CR315" s="72">
        <f t="shared" si="2568"/>
        <v>309</v>
      </c>
      <c r="CS315" s="72">
        <f t="shared" si="2569"/>
        <v>322</v>
      </c>
      <c r="CT315" s="23">
        <f t="shared" si="2570"/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2543"/>
        <v>opsd_bovin_6FKD</v>
      </c>
      <c r="B316" s="3" t="s">
        <v>913</v>
      </c>
      <c r="C316" s="3" t="s">
        <v>1482</v>
      </c>
      <c r="D316" s="3" t="str">
        <f>IFERROR(MID(VLOOKUP($B316,Seqs!$A:$B,2,0),E316,1),"")</f>
        <v>E</v>
      </c>
      <c r="E316" s="3">
        <v>33</v>
      </c>
      <c r="F316" s="3" t="str">
        <f>IFERROR(MID(VLOOKUP($B316,Seqs!$A:$B,2,0),G316,1),"")</f>
        <v>Q</v>
      </c>
      <c r="G316" s="3">
        <v>64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N</v>
      </c>
      <c r="M316" s="3">
        <v>73</v>
      </c>
      <c r="N316" s="3" t="str">
        <f>IFERROR(MID(VLOOKUP($B316,Seqs!$A:$B,2,0),O316,1),"")</f>
        <v>G</v>
      </c>
      <c r="O316" s="3">
        <v>101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3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236</v>
      </c>
      <c r="AN316" s="3" t="str">
        <f>IFERROR(MID(VLOOKUP($B316,Seqs!$A:$B,2,0),AO316,1),"")</f>
        <v>S</v>
      </c>
      <c r="AO316" s="3">
        <v>240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T</v>
      </c>
      <c r="AS316" s="3">
        <v>289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2544"/>
        <v>1</v>
      </c>
      <c r="BC316" s="23">
        <f t="shared" si="2545"/>
        <v>245</v>
      </c>
      <c r="BD316" s="2" t="s">
        <v>23</v>
      </c>
      <c r="BE316" s="3" t="s">
        <v>1285</v>
      </c>
      <c r="BF316" s="118">
        <v>2.4900000000000002</v>
      </c>
      <c r="BG316" s="49" t="s">
        <v>1</v>
      </c>
      <c r="BH316" s="49" t="s">
        <v>1</v>
      </c>
      <c r="BI316" s="1"/>
      <c r="BJ316" s="70" t="s">
        <v>1281</v>
      </c>
      <c r="BK316" s="57" t="s">
        <v>1281</v>
      </c>
      <c r="BL316" s="57" t="s">
        <v>1281</v>
      </c>
      <c r="BM316" s="57" t="s">
        <v>1281</v>
      </c>
      <c r="BN316" s="57" t="s">
        <v>1281</v>
      </c>
      <c r="BO316" s="57" t="s">
        <v>1281</v>
      </c>
      <c r="BP316" s="57" t="s">
        <v>1281</v>
      </c>
      <c r="BQ316" s="57" t="s">
        <v>1281</v>
      </c>
      <c r="BR316" s="57" t="s">
        <v>1281</v>
      </c>
      <c r="BS316" s="57" t="s">
        <v>1281</v>
      </c>
      <c r="BT316" s="57" t="s">
        <v>1281</v>
      </c>
      <c r="BU316" s="57" t="s">
        <v>1281</v>
      </c>
      <c r="BV316" s="70">
        <f t="shared" si="2546"/>
        <v>33</v>
      </c>
      <c r="BW316" s="71">
        <f t="shared" si="2547"/>
        <v>66</v>
      </c>
      <c r="BX316" s="72">
        <f t="shared" si="2548"/>
        <v>73</v>
      </c>
      <c r="BY316" s="71">
        <f t="shared" si="2549"/>
        <v>102</v>
      </c>
      <c r="BZ316" s="72">
        <f t="shared" si="2550"/>
        <v>106</v>
      </c>
      <c r="CA316" s="71" t="str">
        <f t="shared" si="2551"/>
        <v>-</v>
      </c>
      <c r="CB316" s="72">
        <f t="shared" si="2552"/>
        <v>149</v>
      </c>
      <c r="CC316" s="71">
        <f t="shared" si="2553"/>
        <v>187</v>
      </c>
      <c r="CD316" s="72">
        <f t="shared" si="2554"/>
        <v>199</v>
      </c>
      <c r="CE316" s="71">
        <f t="shared" si="2555"/>
        <v>240</v>
      </c>
      <c r="CF316" s="72">
        <f t="shared" si="2556"/>
        <v>289</v>
      </c>
      <c r="CG316" s="71">
        <f t="shared" si="2557"/>
        <v>310</v>
      </c>
      <c r="CH316" s="70">
        <f t="shared" si="2558"/>
        <v>64</v>
      </c>
      <c r="CI316" s="71">
        <f t="shared" si="2559"/>
        <v>69</v>
      </c>
      <c r="CJ316" s="72">
        <f t="shared" si="2560"/>
        <v>101</v>
      </c>
      <c r="CK316" s="72">
        <f t="shared" si="2561"/>
        <v>105</v>
      </c>
      <c r="CL316" s="72">
        <f t="shared" si="2562"/>
        <v>141</v>
      </c>
      <c r="CM316" s="72" t="str">
        <f t="shared" si="2563"/>
        <v>-</v>
      </c>
      <c r="CN316" s="72">
        <f t="shared" si="2564"/>
        <v>173</v>
      </c>
      <c r="CO316" s="72">
        <f t="shared" si="2565"/>
        <v>189</v>
      </c>
      <c r="CP316" s="72">
        <f t="shared" si="2566"/>
        <v>236</v>
      </c>
      <c r="CQ316" s="72">
        <f t="shared" si="2567"/>
        <v>278</v>
      </c>
      <c r="CR316" s="72">
        <f t="shared" si="2568"/>
        <v>309</v>
      </c>
      <c r="CS316" s="72">
        <f t="shared" si="2569"/>
        <v>322</v>
      </c>
      <c r="CT316" s="23">
        <f t="shared" si="2570"/>
        <v>4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ref="A317" si="2571">CONCATENATE(B317,"_",C317)</f>
        <v>opsd_bovin_6FUF</v>
      </c>
      <c r="B317" s="3" t="s">
        <v>913</v>
      </c>
      <c r="C317" s="3" t="s">
        <v>1512</v>
      </c>
      <c r="D317" s="3" t="str">
        <f>IFERROR(MID(VLOOKUP($B317,Seqs!$A:$B,2,0),E317,1),"")</f>
        <v>E</v>
      </c>
      <c r="E317" s="3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N</v>
      </c>
      <c r="M317" s="3">
        <v>73</v>
      </c>
      <c r="N317" s="3" t="str">
        <f>IFERROR(MID(VLOOKUP($B317,Seqs!$A:$B,2,0),O317,1),"")</f>
        <v>G</v>
      </c>
      <c r="O317" s="3">
        <v>101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3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S</v>
      </c>
      <c r="AO317" s="3">
        <v>240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T</v>
      </c>
      <c r="AS317" s="3">
        <v>289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R</v>
      </c>
      <c r="AY317" s="3">
        <v>314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 t="shared" ref="BB317" si="2572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 t="shared" ref="BC317" si="2573">_xlfn.AGGREGATE(9,6,CH317:CS317)-_xlfn.AGGREGATE(9,6,BV317:CG317)+12</f>
        <v>239</v>
      </c>
      <c r="BD317" s="2" t="s">
        <v>23</v>
      </c>
      <c r="BE317" s="3" t="s">
        <v>1285</v>
      </c>
      <c r="BF317" s="118">
        <v>3.12</v>
      </c>
      <c r="BG317" s="49" t="s">
        <v>1</v>
      </c>
      <c r="BH317" s="49" t="s">
        <v>1</v>
      </c>
      <c r="BI317" s="1"/>
      <c r="BJ317" s="70" t="s">
        <v>1281</v>
      </c>
      <c r="BK317" s="57" t="s">
        <v>1281</v>
      </c>
      <c r="BL317" s="57" t="s">
        <v>1281</v>
      </c>
      <c r="BM317" s="57" t="s">
        <v>1281</v>
      </c>
      <c r="BN317" s="57" t="s">
        <v>1281</v>
      </c>
      <c r="BO317" s="57" t="s">
        <v>1281</v>
      </c>
      <c r="BP317" s="57" t="s">
        <v>1281</v>
      </c>
      <c r="BQ317" s="57" t="s">
        <v>1281</v>
      </c>
      <c r="BR317" s="57" t="s">
        <v>1281</v>
      </c>
      <c r="BS317" s="57" t="s">
        <v>1281</v>
      </c>
      <c r="BT317" s="57" t="s">
        <v>1281</v>
      </c>
      <c r="BU317" s="57" t="s">
        <v>1281</v>
      </c>
      <c r="BV317" s="70">
        <f t="shared" ref="BV317" si="2574">E317</f>
        <v>33</v>
      </c>
      <c r="BW317" s="71">
        <f t="shared" ref="BW317" si="2575">I317</f>
        <v>66</v>
      </c>
      <c r="BX317" s="72">
        <f t="shared" ref="BX317" si="2576">M317</f>
        <v>73</v>
      </c>
      <c r="BY317" s="71">
        <f t="shared" ref="BY317" si="2577">Q317</f>
        <v>102</v>
      </c>
      <c r="BZ317" s="72">
        <f t="shared" ref="BZ317" si="2578">U317</f>
        <v>106</v>
      </c>
      <c r="CA317" s="71" t="str">
        <f t="shared" ref="CA317" si="2579">Y317</f>
        <v>-</v>
      </c>
      <c r="CB317" s="72">
        <f t="shared" ref="CB317" si="2580">AC317</f>
        <v>149</v>
      </c>
      <c r="CC317" s="71">
        <f t="shared" ref="CC317" si="2581">AG317</f>
        <v>187</v>
      </c>
      <c r="CD317" s="72">
        <f t="shared" ref="CD317" si="2582">AK317</f>
        <v>199</v>
      </c>
      <c r="CE317" s="71">
        <f t="shared" ref="CE317" si="2583">AO317</f>
        <v>240</v>
      </c>
      <c r="CF317" s="72">
        <f t="shared" ref="CF317" si="2584">AS317</f>
        <v>289</v>
      </c>
      <c r="CG317" s="71">
        <f t="shared" ref="CG317" si="2585">AW317</f>
        <v>310</v>
      </c>
      <c r="CH317" s="70">
        <f t="shared" ref="CH317" si="2586">G317</f>
        <v>65</v>
      </c>
      <c r="CI317" s="71">
        <f t="shared" ref="CI317" si="2587">K317</f>
        <v>69</v>
      </c>
      <c r="CJ317" s="72">
        <f t="shared" ref="CJ317" si="2588">O317</f>
        <v>101</v>
      </c>
      <c r="CK317" s="72">
        <f t="shared" ref="CK317" si="2589">S317</f>
        <v>105</v>
      </c>
      <c r="CL317" s="72">
        <f t="shared" ref="CL317" si="2590">W317</f>
        <v>141</v>
      </c>
      <c r="CM317" s="72" t="str">
        <f t="shared" ref="CM317" si="2591">AA317</f>
        <v>-</v>
      </c>
      <c r="CN317" s="72">
        <f t="shared" ref="CN317" si="2592">AE317</f>
        <v>173</v>
      </c>
      <c r="CO317" s="72">
        <f t="shared" ref="CO317" si="2593">AI317</f>
        <v>189</v>
      </c>
      <c r="CP317" s="72">
        <f t="shared" ref="CP317" si="2594">AM317</f>
        <v>237</v>
      </c>
      <c r="CQ317" s="72">
        <f t="shared" ref="CQ317" si="2595">AQ317</f>
        <v>278</v>
      </c>
      <c r="CR317" s="72">
        <f t="shared" ref="CR317" si="2596">AU317</f>
        <v>309</v>
      </c>
      <c r="CS317" s="72">
        <f t="shared" ref="CS317" si="2597">AY317</f>
        <v>314</v>
      </c>
      <c r="CT317" s="23">
        <f t="shared" ref="CT317" si="2598">M317-K317</f>
        <v>4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ref="A318" si="2599">CONCATENATE(B318,"_",C318)</f>
        <v>opsd_bovin_6QNO</v>
      </c>
      <c r="B318" s="3" t="s">
        <v>913</v>
      </c>
      <c r="C318" s="3" t="s">
        <v>1579</v>
      </c>
      <c r="D318" s="3" t="str">
        <f>IFERROR(MID(VLOOKUP($B318,Seqs!$A:$B,2,0),E318,1),"")</f>
        <v>E</v>
      </c>
      <c r="E318" s="3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N</v>
      </c>
      <c r="M318" s="3">
        <v>73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150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200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S</v>
      </c>
      <c r="AO318" s="3">
        <v>240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ref="BB318" si="2600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" si="2601">_xlfn.AGGREGATE(9,6,CH318:CS318)-_xlfn.AGGREGATE(9,6,BV318:CG318)+12</f>
        <v>249</v>
      </c>
      <c r="BD318" s="2" t="s">
        <v>23</v>
      </c>
      <c r="BE318" s="3" t="s">
        <v>1285</v>
      </c>
      <c r="BF318" s="118">
        <v>4.38</v>
      </c>
      <c r="BG318" s="49" t="s">
        <v>1416</v>
      </c>
      <c r="BH318" s="49" t="s">
        <v>1416</v>
      </c>
      <c r="BI318" s="1"/>
      <c r="BJ318" s="70" t="s">
        <v>1281</v>
      </c>
      <c r="BK318" s="57" t="s">
        <v>1281</v>
      </c>
      <c r="BL318" s="57" t="s">
        <v>1281</v>
      </c>
      <c r="BM318" s="57" t="s">
        <v>1281</v>
      </c>
      <c r="BN318" s="57" t="s">
        <v>1281</v>
      </c>
      <c r="BO318" s="57" t="s">
        <v>1281</v>
      </c>
      <c r="BP318" s="57" t="s">
        <v>1281</v>
      </c>
      <c r="BQ318" s="57" t="s">
        <v>1281</v>
      </c>
      <c r="BR318" s="57" t="s">
        <v>1281</v>
      </c>
      <c r="BS318" s="57" t="s">
        <v>1281</v>
      </c>
      <c r="BT318" s="57" t="s">
        <v>1281</v>
      </c>
      <c r="BU318" s="57" t="s">
        <v>1281</v>
      </c>
      <c r="BV318" s="70">
        <f t="shared" ref="BV318" si="2602">E318</f>
        <v>33</v>
      </c>
      <c r="BW318" s="71">
        <f t="shared" ref="BW318" si="2603">I318</f>
        <v>66</v>
      </c>
      <c r="BX318" s="72">
        <f t="shared" ref="BX318" si="2604">M318</f>
        <v>73</v>
      </c>
      <c r="BY318" s="71">
        <f t="shared" ref="BY318" si="2605">Q318</f>
        <v>102</v>
      </c>
      <c r="BZ318" s="72">
        <f t="shared" ref="BZ318" si="2606">U318</f>
        <v>106</v>
      </c>
      <c r="CA318" s="71" t="str">
        <f t="shared" ref="CA318" si="2607">Y318</f>
        <v>-</v>
      </c>
      <c r="CB318" s="72">
        <f t="shared" ref="CB318" si="2608">AC318</f>
        <v>150</v>
      </c>
      <c r="CC318" s="71">
        <f t="shared" ref="CC318" si="2609">AG318</f>
        <v>187</v>
      </c>
      <c r="CD318" s="72">
        <f t="shared" ref="CD318" si="2610">AK318</f>
        <v>200</v>
      </c>
      <c r="CE318" s="71">
        <f t="shared" ref="CE318" si="2611">AO318</f>
        <v>240</v>
      </c>
      <c r="CF318" s="72">
        <f t="shared" ref="CF318" si="2612">AS318</f>
        <v>284</v>
      </c>
      <c r="CG318" s="71">
        <f t="shared" ref="CG318" si="2613">AW318</f>
        <v>310</v>
      </c>
      <c r="CH318" s="70">
        <f t="shared" ref="CH318" si="2614">G318</f>
        <v>65</v>
      </c>
      <c r="CI318" s="71">
        <f t="shared" ref="CI318" si="2615">K318</f>
        <v>69</v>
      </c>
      <c r="CJ318" s="72">
        <f t="shared" ref="CJ318" si="2616">O318</f>
        <v>100</v>
      </c>
      <c r="CK318" s="72">
        <f t="shared" ref="CK318" si="2617">S318</f>
        <v>105</v>
      </c>
      <c r="CL318" s="72">
        <f t="shared" ref="CL318" si="2618">W318</f>
        <v>141</v>
      </c>
      <c r="CM318" s="72" t="str">
        <f t="shared" ref="CM318" si="2619">AA318</f>
        <v>-</v>
      </c>
      <c r="CN318" s="72">
        <f t="shared" ref="CN318" si="2620">AE318</f>
        <v>173</v>
      </c>
      <c r="CO318" s="72">
        <f t="shared" ref="CO318" si="2621">AI318</f>
        <v>189</v>
      </c>
      <c r="CP318" s="72">
        <f t="shared" ref="CP318" si="2622">AM318</f>
        <v>237</v>
      </c>
      <c r="CQ318" s="72">
        <f t="shared" ref="CQ318" si="2623">AQ318</f>
        <v>278</v>
      </c>
      <c r="CR318" s="72">
        <f t="shared" ref="CR318" si="2624">AU318</f>
        <v>309</v>
      </c>
      <c r="CS318" s="72">
        <f t="shared" ref="CS318" si="2625">AY318</f>
        <v>322</v>
      </c>
      <c r="CT318" s="23">
        <f t="shared" ref="CT318" si="2626">M318-K318</f>
        <v>4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ref="A319" si="2627">CONCATENATE(B319,"_",C319)</f>
        <v>opsd_bovin_6OY9</v>
      </c>
      <c r="B319" s="3" t="s">
        <v>913</v>
      </c>
      <c r="C319" s="3" t="s">
        <v>1581</v>
      </c>
      <c r="D319" s="3" t="str">
        <f>IFERROR(MID(VLOOKUP($B319,Seqs!$A:$B,2,0),E319,1),"")</f>
        <v>E</v>
      </c>
      <c r="E319" s="3">
        <v>33</v>
      </c>
      <c r="F319" s="3" t="str">
        <f>IFERROR(MID(VLOOKUP($B319,Seqs!$A:$B,2,0),G319,1),"")</f>
        <v>Q</v>
      </c>
      <c r="G319" s="3">
        <v>64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N</v>
      </c>
      <c r="M319" s="3">
        <v>73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C</v>
      </c>
      <c r="W319" s="3">
        <v>140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150</v>
      </c>
      <c r="AD319" s="3" t="str">
        <f>IFERROR(MID(VLOOKUP($B319,Seqs!$A:$B,2,0),AE319,1),"")</f>
        <v>L</v>
      </c>
      <c r="AE319" s="3">
        <v>172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236</v>
      </c>
      <c r="AN319" s="3" t="str">
        <f>IFERROR(MID(VLOOKUP($B319,Seqs!$A:$B,2,0),AO319,1),"")</f>
        <v>S</v>
      </c>
      <c r="AO319" s="3">
        <v>240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F</v>
      </c>
      <c r="AW319" s="3">
        <v>313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ref="BB319" si="2628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 t="shared" ref="BC319" si="2629">_xlfn.AGGREGATE(9,6,CH319:CS319)-_xlfn.AGGREGATE(9,6,BV319:CG319)+12</f>
        <v>240</v>
      </c>
      <c r="BD319" s="2" t="s">
        <v>23</v>
      </c>
      <c r="BE319" s="3" t="s">
        <v>1285</v>
      </c>
      <c r="BF319" s="118">
        <v>3.9</v>
      </c>
      <c r="BG319" s="49" t="s">
        <v>1416</v>
      </c>
      <c r="BH319" s="49" t="s">
        <v>1416</v>
      </c>
      <c r="BI319" s="1"/>
      <c r="BJ319" s="70" t="s">
        <v>1281</v>
      </c>
      <c r="BK319" s="57" t="s">
        <v>1281</v>
      </c>
      <c r="BL319" s="57" t="s">
        <v>1281</v>
      </c>
      <c r="BM319" s="57" t="s">
        <v>1281</v>
      </c>
      <c r="BN319" s="57" t="s">
        <v>1281</v>
      </c>
      <c r="BO319" s="57" t="s">
        <v>1281</v>
      </c>
      <c r="BP319" s="57" t="s">
        <v>1281</v>
      </c>
      <c r="BQ319" s="57" t="s">
        <v>1281</v>
      </c>
      <c r="BR319" s="57" t="s">
        <v>1281</v>
      </c>
      <c r="BS319" s="57" t="s">
        <v>1281</v>
      </c>
      <c r="BT319" s="57" t="s">
        <v>1281</v>
      </c>
      <c r="BU319" s="57" t="s">
        <v>1281</v>
      </c>
      <c r="BV319" s="70">
        <f t="shared" ref="BV319" si="2630">E319</f>
        <v>33</v>
      </c>
      <c r="BW319" s="71" t="str">
        <f t="shared" ref="BW319" si="2631">I319</f>
        <v>-</v>
      </c>
      <c r="BX319" s="72">
        <f t="shared" ref="BX319" si="2632">M319</f>
        <v>73</v>
      </c>
      <c r="BY319" s="71">
        <f t="shared" ref="BY319" si="2633">Q319</f>
        <v>102</v>
      </c>
      <c r="BZ319" s="72">
        <f t="shared" ref="BZ319" si="2634">U319</f>
        <v>106</v>
      </c>
      <c r="CA319" s="71" t="str">
        <f t="shared" ref="CA319" si="2635">Y319</f>
        <v>-</v>
      </c>
      <c r="CB319" s="72">
        <f t="shared" ref="CB319" si="2636">AC319</f>
        <v>150</v>
      </c>
      <c r="CC319" s="71">
        <f t="shared" ref="CC319" si="2637">AG319</f>
        <v>187</v>
      </c>
      <c r="CD319" s="72">
        <f t="shared" ref="CD319" si="2638">AK319</f>
        <v>199</v>
      </c>
      <c r="CE319" s="71">
        <f t="shared" ref="CE319" si="2639">AO319</f>
        <v>240</v>
      </c>
      <c r="CF319" s="72">
        <f t="shared" ref="CF319" si="2640">AS319</f>
        <v>284</v>
      </c>
      <c r="CG319" s="71">
        <f t="shared" ref="CG319" si="2641">AW319</f>
        <v>313</v>
      </c>
      <c r="CH319" s="70">
        <f t="shared" ref="CH319" si="2642">G319</f>
        <v>64</v>
      </c>
      <c r="CI319" s="71" t="str">
        <f t="shared" ref="CI319" si="2643">K319</f>
        <v>-</v>
      </c>
      <c r="CJ319" s="72">
        <f t="shared" ref="CJ319" si="2644">O319</f>
        <v>100</v>
      </c>
      <c r="CK319" s="72">
        <f t="shared" ref="CK319" si="2645">S319</f>
        <v>105</v>
      </c>
      <c r="CL319" s="72">
        <f t="shared" ref="CL319" si="2646">W319</f>
        <v>140</v>
      </c>
      <c r="CM319" s="72" t="str">
        <f t="shared" ref="CM319" si="2647">AA319</f>
        <v>-</v>
      </c>
      <c r="CN319" s="72">
        <f t="shared" ref="CN319" si="2648">AE319</f>
        <v>172</v>
      </c>
      <c r="CO319" s="72">
        <f t="shared" ref="CO319" si="2649">AI319</f>
        <v>189</v>
      </c>
      <c r="CP319" s="72">
        <f t="shared" ref="CP319" si="2650">AM319</f>
        <v>236</v>
      </c>
      <c r="CQ319" s="72">
        <f t="shared" ref="CQ319" si="2651">AQ319</f>
        <v>278</v>
      </c>
      <c r="CR319" s="72">
        <f t="shared" ref="CR319" si="2652">AU319</f>
        <v>309</v>
      </c>
      <c r="CS319" s="72">
        <f t="shared" ref="CS319" si="2653">AY319</f>
        <v>322</v>
      </c>
      <c r="CT319" s="23" t="e">
        <f t="shared" ref="CT319" si="2654">M319-K319</f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ref="A320" si="2655">CONCATENATE(B320,"_",C320)</f>
        <v>opsd_bovin_6OYA</v>
      </c>
      <c r="B320" s="3" t="s">
        <v>913</v>
      </c>
      <c r="C320" s="3" t="s">
        <v>1582</v>
      </c>
      <c r="D320" s="3" t="str">
        <f>IFERROR(MID(VLOOKUP($B320,Seqs!$A:$B,2,0),E320,1),"")</f>
        <v>E</v>
      </c>
      <c r="E320" s="3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3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C</v>
      </c>
      <c r="W320" s="3">
        <v>140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3">
        <v>149</v>
      </c>
      <c r="AD320" s="3" t="str">
        <f>IFERROR(MID(VLOOKUP($B320,Seqs!$A:$B,2,0),AE320,1),"")</f>
        <v>G</v>
      </c>
      <c r="AE320" s="3">
        <v>174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A</v>
      </c>
      <c r="AM320" s="3">
        <v>235</v>
      </c>
      <c r="AN320" s="3" t="str">
        <f>IFERROR(MID(VLOOKUP($B320,Seqs!$A:$B,2,0),AO320,1),"")</f>
        <v>T</v>
      </c>
      <c r="AO320" s="3">
        <v>243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308</v>
      </c>
      <c r="AV320" s="3" t="str">
        <f>IFERROR(MID(VLOOKUP($B320,Seqs!$A:$B,2,0),AW320,1),"")</f>
        <v>F</v>
      </c>
      <c r="AW320" s="3">
        <v>313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ref="BB320" si="2656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2657">_xlfn.AGGREGATE(9,6,CH320:CS320)-_xlfn.AGGREGATE(9,6,BV320:CG320)+12</f>
        <v>246</v>
      </c>
      <c r="BD320" s="2" t="s">
        <v>23</v>
      </c>
      <c r="BE320" s="3" t="s">
        <v>1285</v>
      </c>
      <c r="BF320" s="118">
        <v>3.3</v>
      </c>
      <c r="BG320" s="49" t="s">
        <v>1416</v>
      </c>
      <c r="BH320" s="49" t="s">
        <v>1416</v>
      </c>
      <c r="BI320" s="1"/>
      <c r="BJ320" s="70" t="s">
        <v>1281</v>
      </c>
      <c r="BK320" s="57" t="s">
        <v>1281</v>
      </c>
      <c r="BL320" s="57" t="s">
        <v>1281</v>
      </c>
      <c r="BM320" s="57" t="s">
        <v>1281</v>
      </c>
      <c r="BN320" s="57" t="s">
        <v>1281</v>
      </c>
      <c r="BO320" s="57" t="s">
        <v>1281</v>
      </c>
      <c r="BP320" s="57" t="s">
        <v>1281</v>
      </c>
      <c r="BQ320" s="57" t="s">
        <v>1281</v>
      </c>
      <c r="BR320" s="57" t="s">
        <v>1281</v>
      </c>
      <c r="BS320" s="57" t="s">
        <v>1281</v>
      </c>
      <c r="BT320" s="57" t="s">
        <v>1281</v>
      </c>
      <c r="BU320" s="57" t="s">
        <v>1281</v>
      </c>
      <c r="BV320" s="70">
        <f t="shared" ref="BV320" si="2658">E320</f>
        <v>33</v>
      </c>
      <c r="BW320" s="71">
        <f t="shared" ref="BW320" si="2659">I320</f>
        <v>66</v>
      </c>
      <c r="BX320" s="72">
        <f t="shared" ref="BX320" si="2660">M320</f>
        <v>70</v>
      </c>
      <c r="BY320" s="71">
        <f t="shared" ref="BY320" si="2661">Q320</f>
        <v>102</v>
      </c>
      <c r="BZ320" s="72">
        <f t="shared" ref="BZ320" si="2662">U320</f>
        <v>106</v>
      </c>
      <c r="CA320" s="71" t="str">
        <f t="shared" ref="CA320" si="2663">Y320</f>
        <v>-</v>
      </c>
      <c r="CB320" s="72">
        <f t="shared" ref="CB320" si="2664">AC320</f>
        <v>149</v>
      </c>
      <c r="CC320" s="71">
        <f t="shared" ref="CC320" si="2665">AG320</f>
        <v>187</v>
      </c>
      <c r="CD320" s="72">
        <f t="shared" ref="CD320" si="2666">AK320</f>
        <v>199</v>
      </c>
      <c r="CE320" s="71">
        <f t="shared" ref="CE320" si="2667">AO320</f>
        <v>243</v>
      </c>
      <c r="CF320" s="72">
        <f t="shared" ref="CF320" si="2668">AS320</f>
        <v>284</v>
      </c>
      <c r="CG320" s="71">
        <f t="shared" ref="CG320" si="2669">AW320</f>
        <v>313</v>
      </c>
      <c r="CH320" s="70">
        <f t="shared" ref="CH320" si="2670">G320</f>
        <v>65</v>
      </c>
      <c r="CI320" s="71">
        <f t="shared" ref="CI320" si="2671">K320</f>
        <v>69</v>
      </c>
      <c r="CJ320" s="72">
        <f t="shared" ref="CJ320" si="2672">O320</f>
        <v>101</v>
      </c>
      <c r="CK320" s="72">
        <f t="shared" ref="CK320" si="2673">S320</f>
        <v>105</v>
      </c>
      <c r="CL320" s="72">
        <f t="shared" ref="CL320" si="2674">W320</f>
        <v>140</v>
      </c>
      <c r="CM320" s="72" t="str">
        <f t="shared" ref="CM320" si="2675">AA320</f>
        <v>-</v>
      </c>
      <c r="CN320" s="72">
        <f t="shared" ref="CN320" si="2676">AE320</f>
        <v>174</v>
      </c>
      <c r="CO320" s="72">
        <f t="shared" ref="CO320" si="2677">AI320</f>
        <v>189</v>
      </c>
      <c r="CP320" s="72">
        <f t="shared" ref="CP320" si="2678">AM320</f>
        <v>235</v>
      </c>
      <c r="CQ320" s="72">
        <f t="shared" ref="CQ320" si="2679">AQ320</f>
        <v>278</v>
      </c>
      <c r="CR320" s="72">
        <f t="shared" ref="CR320" si="2680">AU320</f>
        <v>308</v>
      </c>
      <c r="CS320" s="72">
        <f t="shared" ref="CS320" si="2681">AY320</f>
        <v>322</v>
      </c>
      <c r="CT320" s="23">
        <f t="shared" ref="CT320" si="2682"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ref="A321" si="2683">CONCATENATE(B321,"_",C321)</f>
        <v>opsd_bovin_6OFJ</v>
      </c>
      <c r="B321" s="3" t="s">
        <v>913</v>
      </c>
      <c r="C321" s="3" t="s">
        <v>1585</v>
      </c>
      <c r="D321" s="3" t="str">
        <f>IFERROR(MID(VLOOKUP($B321,Seqs!$A:$B,2,0),E321,1),"")</f>
        <v>P</v>
      </c>
      <c r="E321" s="3">
        <v>34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3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A</v>
      </c>
      <c r="AC321" s="3">
        <v>153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200</v>
      </c>
      <c r="AL321" s="3" t="str">
        <f>IFERROR(MID(VLOOKUP($B321,Seqs!$A:$B,2,0),AM321,1),"")</f>
        <v>L</v>
      </c>
      <c r="AM321" s="3">
        <v>226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M</v>
      </c>
      <c r="AS321" s="3">
        <v>288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T</v>
      </c>
      <c r="AY321" s="3">
        <v>320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ref="BB321" si="2684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2685">_xlfn.AGGREGATE(9,6,CH321:CS321)-_xlfn.AGGREGATE(9,6,BV321:CG321)+12</f>
        <v>228</v>
      </c>
      <c r="BD321" s="2" t="s">
        <v>1423</v>
      </c>
      <c r="BE321" s="3" t="s">
        <v>1422</v>
      </c>
      <c r="BF321" s="118">
        <v>4.5</v>
      </c>
      <c r="BG321" s="49" t="s">
        <v>1</v>
      </c>
      <c r="BH321" s="49" t="s">
        <v>1</v>
      </c>
      <c r="BI321" s="1"/>
      <c r="BJ321" s="70" t="s">
        <v>1281</v>
      </c>
      <c r="BK321" s="57" t="s">
        <v>1281</v>
      </c>
      <c r="BL321" s="57" t="s">
        <v>1281</v>
      </c>
      <c r="BM321" s="57" t="s">
        <v>1281</v>
      </c>
      <c r="BN321" s="57" t="s">
        <v>1281</v>
      </c>
      <c r="BO321" s="57" t="s">
        <v>1281</v>
      </c>
      <c r="BP321" s="57" t="s">
        <v>1281</v>
      </c>
      <c r="BQ321" s="57" t="s">
        <v>1281</v>
      </c>
      <c r="BR321" s="57" t="s">
        <v>1281</v>
      </c>
      <c r="BS321" s="57" t="s">
        <v>1281</v>
      </c>
      <c r="BT321" s="57" t="s">
        <v>1281</v>
      </c>
      <c r="BU321" s="57" t="s">
        <v>1281</v>
      </c>
      <c r="BV321" s="70">
        <f t="shared" ref="BV321" si="2686">E321</f>
        <v>34</v>
      </c>
      <c r="BW321" s="71" t="str">
        <f t="shared" ref="BW321" si="2687">I321</f>
        <v>-</v>
      </c>
      <c r="BX321" s="72">
        <f t="shared" ref="BX321" si="2688">M321</f>
        <v>70</v>
      </c>
      <c r="BY321" s="71">
        <f t="shared" ref="BY321" si="2689">Q321</f>
        <v>102</v>
      </c>
      <c r="BZ321" s="72">
        <f t="shared" ref="BZ321" si="2690">U321</f>
        <v>106</v>
      </c>
      <c r="CA321" s="71" t="str">
        <f t="shared" ref="CA321" si="2691">Y321</f>
        <v>-</v>
      </c>
      <c r="CB321" s="72">
        <f t="shared" ref="CB321" si="2692">AC321</f>
        <v>153</v>
      </c>
      <c r="CC321" s="71">
        <f t="shared" ref="CC321" si="2693">AG321</f>
        <v>187</v>
      </c>
      <c r="CD321" s="72">
        <f t="shared" ref="CD321" si="2694">AK321</f>
        <v>200</v>
      </c>
      <c r="CE321" s="71">
        <f t="shared" ref="CE321" si="2695">AO321</f>
        <v>241</v>
      </c>
      <c r="CF321" s="72">
        <f t="shared" ref="CF321" si="2696">AS321</f>
        <v>288</v>
      </c>
      <c r="CG321" s="71">
        <f t="shared" ref="CG321" si="2697">AW321</f>
        <v>310</v>
      </c>
      <c r="CH321" s="70">
        <f t="shared" ref="CH321" si="2698">G321</f>
        <v>65</v>
      </c>
      <c r="CI321" s="71" t="str">
        <f t="shared" ref="CI321" si="2699">K321</f>
        <v>-</v>
      </c>
      <c r="CJ321" s="72">
        <f t="shared" ref="CJ321" si="2700">O321</f>
        <v>101</v>
      </c>
      <c r="CK321" s="72">
        <f t="shared" ref="CK321" si="2701">S321</f>
        <v>105</v>
      </c>
      <c r="CL321" s="72">
        <f t="shared" ref="CL321" si="2702">W321</f>
        <v>141</v>
      </c>
      <c r="CM321" s="72" t="str">
        <f t="shared" ref="CM321" si="2703">AA321</f>
        <v>-</v>
      </c>
      <c r="CN321" s="72">
        <f t="shared" ref="CN321" si="2704">AE321</f>
        <v>173</v>
      </c>
      <c r="CO321" s="72">
        <f t="shared" ref="CO321" si="2705">AI321</f>
        <v>189</v>
      </c>
      <c r="CP321" s="72">
        <f t="shared" ref="CP321" si="2706">AM321</f>
        <v>226</v>
      </c>
      <c r="CQ321" s="72">
        <f t="shared" ref="CQ321" si="2707">AQ321</f>
        <v>278</v>
      </c>
      <c r="CR321" s="72">
        <f t="shared" ref="CR321" si="2708">AU321</f>
        <v>309</v>
      </c>
      <c r="CS321" s="72">
        <f t="shared" ref="CS321" si="2709">AY321</f>
        <v>320</v>
      </c>
      <c r="CT321" s="23" t="e">
        <f t="shared" ref="CT321" si="2710">M321-K321</f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s="12" customFormat="1" x14ac:dyDescent="0.2">
      <c r="A322" s="9" t="str">
        <f t="shared" ref="A322" si="2711">CONCATENATE(B322,"_",C322)</f>
        <v>opsd_bovin_6NWE</v>
      </c>
      <c r="B322" s="9" t="s">
        <v>913</v>
      </c>
      <c r="C322" s="9" t="s">
        <v>1648</v>
      </c>
      <c r="D322" s="9" t="str">
        <f>IFERROR(MID(VLOOKUP($B322,Seqs!$A:$B,2,0),E322,1),"")</f>
        <v>E</v>
      </c>
      <c r="E322" s="9">
        <v>33</v>
      </c>
      <c r="F322" s="9" t="str">
        <f>IFERROR(MID(VLOOKUP($B322,Seqs!$A:$B,2,0),G322,1),"")</f>
        <v>H</v>
      </c>
      <c r="G322" s="9">
        <v>65</v>
      </c>
      <c r="H322" s="9" t="str">
        <f>IFERROR(MID(VLOOKUP($B322,Seqs!$A:$B,2,0),I322,1),"")</f>
        <v>K</v>
      </c>
      <c r="I322" s="109">
        <v>66</v>
      </c>
      <c r="J322" s="9" t="str">
        <f>IFERROR(MID(VLOOKUP($B322,Seqs!$A:$B,2,0),K322,1),"")</f>
        <v>R</v>
      </c>
      <c r="K322" s="109">
        <v>69</v>
      </c>
      <c r="L322" s="9" t="str">
        <f>IFERROR(MID(VLOOKUP($B322,Seqs!$A:$B,2,0),M322,1),"")</f>
        <v>T</v>
      </c>
      <c r="M322" s="9">
        <v>70</v>
      </c>
      <c r="N322" s="9" t="str">
        <f>IFERROR(MID(VLOOKUP($B322,Seqs!$A:$B,2,0),O322,1),"")</f>
        <v>G</v>
      </c>
      <c r="O322" s="9">
        <v>101</v>
      </c>
      <c r="P322" s="9" t="str">
        <f>IFERROR(MID(VLOOKUP($B322,Seqs!$A:$B,2,0),Q322,1),"")</f>
        <v>Y</v>
      </c>
      <c r="Q322" s="9">
        <v>102</v>
      </c>
      <c r="R322" s="9" t="str">
        <f>IFERROR(MID(VLOOKUP($B322,Seqs!$A:$B,2,0),S322,1),"")</f>
        <v>F</v>
      </c>
      <c r="S322" s="9">
        <v>105</v>
      </c>
      <c r="T322" s="9" t="str">
        <f>IFERROR(MID(VLOOKUP($B322,Seqs!$A:$B,2,0),U322,1),"")</f>
        <v>G</v>
      </c>
      <c r="U322" s="9">
        <v>106</v>
      </c>
      <c r="V322" s="9" t="str">
        <f>IFERROR(MID(VLOOKUP($B322,Seqs!$A:$B,2,0),W322,1),"")</f>
        <v>K</v>
      </c>
      <c r="W322" s="9">
        <v>141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G</v>
      </c>
      <c r="AC322" s="9">
        <v>149</v>
      </c>
      <c r="AD322" s="9" t="str">
        <f>IFERROR(MID(VLOOKUP($B322,Seqs!$A:$B,2,0),AE322,1),"")</f>
        <v>V</v>
      </c>
      <c r="AE322" s="9">
        <v>173</v>
      </c>
      <c r="AF322" s="9" t="str">
        <f>IFERROR(MID(VLOOKUP($B322,Seqs!$A:$B,2,0),AG322,1),"")</f>
        <v>C</v>
      </c>
      <c r="AG322" s="9">
        <v>187</v>
      </c>
      <c r="AH322" s="9" t="str">
        <f>IFERROR(MID(VLOOKUP($B322,Seqs!$A:$B,2,0),AI322,1),"")</f>
        <v>I</v>
      </c>
      <c r="AI322" s="9">
        <v>189</v>
      </c>
      <c r="AJ322" s="9" t="str">
        <f>IFERROR(MID(VLOOKUP($B322,Seqs!$A:$B,2,0),AK322,1),"")</f>
        <v>N</v>
      </c>
      <c r="AK322" s="9">
        <v>199</v>
      </c>
      <c r="AL322" s="9" t="str">
        <f>IFERROR(MID(VLOOKUP($B322,Seqs!$A:$B,2,0),AM322,1),"")</f>
        <v>Q</v>
      </c>
      <c r="AM322" s="9">
        <v>237</v>
      </c>
      <c r="AN322" s="9" t="str">
        <f>IFERROR(MID(VLOOKUP($B322,Seqs!$A:$B,2,0),AO322,1),"")</f>
        <v>S</v>
      </c>
      <c r="AO322" s="9">
        <v>240</v>
      </c>
      <c r="AP322" s="9" t="str">
        <f>IFERROR(MID(VLOOKUP($B322,Seqs!$A:$B,2,0),AQ322,1),"")</f>
        <v>H</v>
      </c>
      <c r="AQ322" s="9">
        <v>278</v>
      </c>
      <c r="AR322" s="9" t="str">
        <f>IFERROR(MID(VLOOKUP($B322,Seqs!$A:$B,2,0),AS322,1),"")</f>
        <v>G</v>
      </c>
      <c r="AS322" s="9">
        <v>284</v>
      </c>
      <c r="AT322" s="9" t="str">
        <f>IFERROR(MID(VLOOKUP($B322,Seqs!$A:$B,2,0),AU322,1),"")</f>
        <v>M</v>
      </c>
      <c r="AU322" s="9">
        <v>309</v>
      </c>
      <c r="AV322" s="9" t="str">
        <f>IFERROR(MID(VLOOKUP($B322,Seqs!$A:$B,2,0),AW322,1),"")</f>
        <v>N</v>
      </c>
      <c r="AW322" s="9">
        <v>310</v>
      </c>
      <c r="AX322" s="9" t="str">
        <f>IFERROR(MID(VLOOKUP($B322,Seqs!$A:$B,2,0),AY322,1),"")</f>
        <v>C</v>
      </c>
      <c r="AY322" s="9">
        <v>323</v>
      </c>
      <c r="AZ322" s="110" t="str">
        <f>VLOOKUP(B322,Classification!A:D,2,0)</f>
        <v>A</v>
      </c>
      <c r="BA322" s="98" t="str">
        <f>VLOOKUP(B322,Classification!A:D,4,0)</f>
        <v>Opsins</v>
      </c>
      <c r="BB322" s="36" t="b">
        <f t="shared" ref="BB322" si="2712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" si="2713">_xlfn.AGGREGATE(9,6,CH322:CS322)-_xlfn.AGGREGATE(9,6,BV322:CG322)+12</f>
        <v>256</v>
      </c>
      <c r="BD322" s="40" t="s">
        <v>23</v>
      </c>
      <c r="BE322" s="9" t="s">
        <v>1285</v>
      </c>
      <c r="BF322" s="119">
        <v>2.71</v>
      </c>
      <c r="BG322" s="51" t="s">
        <v>1</v>
      </c>
      <c r="BH322" s="51" t="s">
        <v>1</v>
      </c>
      <c r="BJ322" s="111" t="s">
        <v>1281</v>
      </c>
      <c r="BK322" s="112" t="s">
        <v>1281</v>
      </c>
      <c r="BL322" s="112" t="s">
        <v>1281</v>
      </c>
      <c r="BM322" s="112" t="s">
        <v>1281</v>
      </c>
      <c r="BN322" s="112" t="s">
        <v>1281</v>
      </c>
      <c r="BO322" s="112" t="s">
        <v>1281</v>
      </c>
      <c r="BP322" s="112" t="s">
        <v>1281</v>
      </c>
      <c r="BQ322" s="112" t="s">
        <v>1281</v>
      </c>
      <c r="BR322" s="112" t="s">
        <v>1281</v>
      </c>
      <c r="BS322" s="112" t="s">
        <v>1281</v>
      </c>
      <c r="BT322" s="112" t="s">
        <v>1281</v>
      </c>
      <c r="BU322" s="112" t="s">
        <v>1281</v>
      </c>
      <c r="BV322" s="111">
        <f t="shared" ref="BV322" si="2714">E322</f>
        <v>33</v>
      </c>
      <c r="BW322" s="113">
        <f t="shared" ref="BW322" si="2715">I322</f>
        <v>66</v>
      </c>
      <c r="BX322" s="114">
        <f t="shared" ref="BX322" si="2716">M322</f>
        <v>70</v>
      </c>
      <c r="BY322" s="113">
        <f t="shared" ref="BY322" si="2717">Q322</f>
        <v>102</v>
      </c>
      <c r="BZ322" s="114">
        <f t="shared" ref="BZ322" si="2718">U322</f>
        <v>106</v>
      </c>
      <c r="CA322" s="113" t="str">
        <f t="shared" ref="CA322" si="2719">Y322</f>
        <v>-</v>
      </c>
      <c r="CB322" s="114">
        <f t="shared" ref="CB322" si="2720">AC322</f>
        <v>149</v>
      </c>
      <c r="CC322" s="113">
        <f t="shared" ref="CC322" si="2721">AG322</f>
        <v>187</v>
      </c>
      <c r="CD322" s="114">
        <f t="shared" ref="CD322" si="2722">AK322</f>
        <v>199</v>
      </c>
      <c r="CE322" s="113">
        <f t="shared" ref="CE322" si="2723">AO322</f>
        <v>240</v>
      </c>
      <c r="CF322" s="114">
        <f t="shared" ref="CF322" si="2724">AS322</f>
        <v>284</v>
      </c>
      <c r="CG322" s="113">
        <f t="shared" ref="CG322" si="2725">AW322</f>
        <v>310</v>
      </c>
      <c r="CH322" s="111">
        <f t="shared" ref="CH322" si="2726">G322</f>
        <v>65</v>
      </c>
      <c r="CI322" s="113">
        <f t="shared" ref="CI322" si="2727">K322</f>
        <v>69</v>
      </c>
      <c r="CJ322" s="114">
        <f t="shared" ref="CJ322" si="2728">O322</f>
        <v>101</v>
      </c>
      <c r="CK322" s="114">
        <f t="shared" ref="CK322" si="2729">S322</f>
        <v>105</v>
      </c>
      <c r="CL322" s="114">
        <f t="shared" ref="CL322" si="2730">W322</f>
        <v>141</v>
      </c>
      <c r="CM322" s="114" t="str">
        <f t="shared" ref="CM322" si="2731">AA322</f>
        <v>-</v>
      </c>
      <c r="CN322" s="114">
        <f t="shared" ref="CN322" si="2732">AE322</f>
        <v>173</v>
      </c>
      <c r="CO322" s="114">
        <f t="shared" ref="CO322" si="2733">AI322</f>
        <v>189</v>
      </c>
      <c r="CP322" s="114">
        <f t="shared" ref="CP322" si="2734">AM322</f>
        <v>237</v>
      </c>
      <c r="CQ322" s="114">
        <f t="shared" ref="CQ322" si="2735">AQ322</f>
        <v>278</v>
      </c>
      <c r="CR322" s="114">
        <f t="shared" ref="CR322" si="2736">AU322</f>
        <v>309</v>
      </c>
      <c r="CS322" s="114">
        <f t="shared" ref="CS322" si="2737">AY322</f>
        <v>323</v>
      </c>
      <c r="CT322" s="109">
        <f t="shared" ref="CT322" si="2738">M322-K322</f>
        <v>1</v>
      </c>
    </row>
    <row r="323" spans="1:1030" x14ac:dyDescent="0.2">
      <c r="A323" s="3" t="str">
        <f t="shared" si="2541"/>
        <v>opsd_human__wt</v>
      </c>
      <c r="B323" s="3" t="s">
        <v>338</v>
      </c>
      <c r="C323" s="3" t="s">
        <v>100</v>
      </c>
      <c r="D323" s="3" t="str">
        <f>IFERROR(MID(VLOOKUP($B323,Seqs!$A:$B,2,0),E323,1),"")</f>
        <v>P</v>
      </c>
      <c r="E323" s="3">
        <v>34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>P</v>
      </c>
      <c r="Y323" s="3">
        <v>142</v>
      </c>
      <c r="Z323" s="3" t="str">
        <f>IFERROR(MID(VLOOKUP($B323,Seqs!$A:$B,2,0),AA323,1),"")</f>
        <v>F</v>
      </c>
      <c r="AA323" s="3">
        <v>148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A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2542"/>
        <v>1</v>
      </c>
      <c r="BC323" s="23">
        <f t="shared" si="2515"/>
        <v>258</v>
      </c>
      <c r="BD323" s="56" t="s">
        <v>23</v>
      </c>
      <c r="BE323" s="3" t="s">
        <v>23</v>
      </c>
      <c r="BF323" s="118" t="s">
        <v>23</v>
      </c>
      <c r="BG323" s="49" t="s">
        <v>1366</v>
      </c>
      <c r="BH323" s="49" t="s">
        <v>1371</v>
      </c>
      <c r="BI323" s="1"/>
      <c r="BJ323" s="70" t="s">
        <v>1281</v>
      </c>
      <c r="BK323" s="57" t="s">
        <v>1281</v>
      </c>
      <c r="BL323" s="57" t="s">
        <v>1281</v>
      </c>
      <c r="BM323" s="57" t="s">
        <v>1281</v>
      </c>
      <c r="BN323" s="57" t="s">
        <v>1281</v>
      </c>
      <c r="BO323" s="57" t="s">
        <v>1281</v>
      </c>
      <c r="BP323" s="57" t="s">
        <v>1281</v>
      </c>
      <c r="BQ323" s="57" t="s">
        <v>1281</v>
      </c>
      <c r="BR323" s="57" t="s">
        <v>1281</v>
      </c>
      <c r="BS323" s="57" t="s">
        <v>1281</v>
      </c>
      <c r="BT323" s="57" t="s">
        <v>1281</v>
      </c>
      <c r="BU323" s="57" t="s">
        <v>1281</v>
      </c>
      <c r="BV323" s="70">
        <f t="shared" si="2516"/>
        <v>34</v>
      </c>
      <c r="BW323" s="71">
        <f t="shared" si="2517"/>
        <v>66</v>
      </c>
      <c r="BX323" s="72">
        <f t="shared" si="2518"/>
        <v>70</v>
      </c>
      <c r="BY323" s="71">
        <f t="shared" si="2519"/>
        <v>102</v>
      </c>
      <c r="BZ323" s="72">
        <f t="shared" si="2520"/>
        <v>106</v>
      </c>
      <c r="CA323" s="71">
        <f t="shared" si="2521"/>
        <v>142</v>
      </c>
      <c r="CB323" s="72">
        <f t="shared" si="2522"/>
        <v>149</v>
      </c>
      <c r="CC323" s="71">
        <f t="shared" si="2523"/>
        <v>187</v>
      </c>
      <c r="CD323" s="72">
        <f t="shared" si="2524"/>
        <v>199</v>
      </c>
      <c r="CE323" s="71">
        <f t="shared" si="2525"/>
        <v>241</v>
      </c>
      <c r="CF323" s="72">
        <f t="shared" si="2526"/>
        <v>284</v>
      </c>
      <c r="CG323" s="71">
        <f t="shared" si="2527"/>
        <v>310</v>
      </c>
      <c r="CH323" s="70">
        <f t="shared" si="2528"/>
        <v>65</v>
      </c>
      <c r="CI323" s="71">
        <f t="shared" si="2529"/>
        <v>69</v>
      </c>
      <c r="CJ323" s="72">
        <f t="shared" si="2530"/>
        <v>100</v>
      </c>
      <c r="CK323" s="72">
        <f t="shared" si="2531"/>
        <v>105</v>
      </c>
      <c r="CL323" s="72">
        <f t="shared" si="2532"/>
        <v>141</v>
      </c>
      <c r="CM323" s="72">
        <f t="shared" si="2533"/>
        <v>148</v>
      </c>
      <c r="CN323" s="72">
        <f t="shared" si="2534"/>
        <v>173</v>
      </c>
      <c r="CO323" s="72">
        <f t="shared" si="2535"/>
        <v>189</v>
      </c>
      <c r="CP323" s="72">
        <f t="shared" si="2536"/>
        <v>237</v>
      </c>
      <c r="CQ323" s="72">
        <f t="shared" si="2537"/>
        <v>278</v>
      </c>
      <c r="CR323" s="72">
        <f t="shared" si="2538"/>
        <v>309</v>
      </c>
      <c r="CS323" s="72">
        <f t="shared" si="2539"/>
        <v>322</v>
      </c>
      <c r="CT323" s="23">
        <f t="shared" si="2540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2541"/>
        <v>opsd_human_4ZWJ</v>
      </c>
      <c r="B324" s="3" t="s">
        <v>338</v>
      </c>
      <c r="C324" s="3" t="s">
        <v>55</v>
      </c>
      <c r="D324" s="3" t="str">
        <f>IFERROR(MID(VLOOKUP($B324,Seqs!$A:$B,2,0),E324,1),"")</f>
        <v>P</v>
      </c>
      <c r="E324" s="3">
        <v>34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>P</v>
      </c>
      <c r="Y324" s="3">
        <v>142</v>
      </c>
      <c r="Z324" s="3" t="str">
        <f>IFERROR(MID(VLOOKUP($B324,Seqs!$A:$B,2,0),AA324,1),"")</f>
        <v>F</v>
      </c>
      <c r="AA324" s="3">
        <v>148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A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2542"/>
        <v>1</v>
      </c>
      <c r="BC324" s="23">
        <f t="shared" si="2515"/>
        <v>258</v>
      </c>
      <c r="BD324" s="2" t="s">
        <v>1369</v>
      </c>
      <c r="BE324" s="3" t="s">
        <v>1285</v>
      </c>
      <c r="BF324" s="118">
        <v>3.3</v>
      </c>
      <c r="BG324" s="49" t="s">
        <v>1371</v>
      </c>
      <c r="BH324" s="49" t="s">
        <v>1371</v>
      </c>
      <c r="BI324" s="1"/>
      <c r="BJ324" s="70" t="s">
        <v>1281</v>
      </c>
      <c r="BK324" s="57" t="s">
        <v>1281</v>
      </c>
      <c r="BL324" s="57" t="s">
        <v>1281</v>
      </c>
      <c r="BM324" s="57" t="s">
        <v>1281</v>
      </c>
      <c r="BN324" s="57" t="s">
        <v>1281</v>
      </c>
      <c r="BO324" s="57" t="s">
        <v>1281</v>
      </c>
      <c r="BP324" s="57" t="s">
        <v>1281</v>
      </c>
      <c r="BQ324" s="57" t="s">
        <v>1281</v>
      </c>
      <c r="BR324" s="57" t="s">
        <v>1281</v>
      </c>
      <c r="BS324" s="57" t="s">
        <v>1281</v>
      </c>
      <c r="BT324" s="57" t="s">
        <v>1281</v>
      </c>
      <c r="BU324" s="57" t="s">
        <v>1281</v>
      </c>
      <c r="BV324" s="70">
        <f t="shared" si="2516"/>
        <v>34</v>
      </c>
      <c r="BW324" s="71">
        <f t="shared" si="2517"/>
        <v>66</v>
      </c>
      <c r="BX324" s="72">
        <f t="shared" si="2518"/>
        <v>70</v>
      </c>
      <c r="BY324" s="71">
        <f t="shared" si="2519"/>
        <v>102</v>
      </c>
      <c r="BZ324" s="72">
        <f t="shared" si="2520"/>
        <v>106</v>
      </c>
      <c r="CA324" s="71">
        <f t="shared" si="2521"/>
        <v>142</v>
      </c>
      <c r="CB324" s="72">
        <f t="shared" si="2522"/>
        <v>149</v>
      </c>
      <c r="CC324" s="71">
        <f t="shared" si="2523"/>
        <v>187</v>
      </c>
      <c r="CD324" s="72">
        <f t="shared" si="2524"/>
        <v>199</v>
      </c>
      <c r="CE324" s="71">
        <f t="shared" si="2525"/>
        <v>241</v>
      </c>
      <c r="CF324" s="72">
        <f t="shared" si="2526"/>
        <v>284</v>
      </c>
      <c r="CG324" s="71">
        <f t="shared" si="2527"/>
        <v>310</v>
      </c>
      <c r="CH324" s="70">
        <f t="shared" si="2528"/>
        <v>65</v>
      </c>
      <c r="CI324" s="71">
        <f t="shared" si="2529"/>
        <v>69</v>
      </c>
      <c r="CJ324" s="72">
        <f t="shared" si="2530"/>
        <v>100</v>
      </c>
      <c r="CK324" s="72">
        <f t="shared" si="2531"/>
        <v>105</v>
      </c>
      <c r="CL324" s="72">
        <f t="shared" si="2532"/>
        <v>141</v>
      </c>
      <c r="CM324" s="72">
        <f t="shared" si="2533"/>
        <v>148</v>
      </c>
      <c r="CN324" s="72">
        <f t="shared" si="2534"/>
        <v>173</v>
      </c>
      <c r="CO324" s="72">
        <f t="shared" si="2535"/>
        <v>189</v>
      </c>
      <c r="CP324" s="72">
        <f t="shared" si="2536"/>
        <v>237</v>
      </c>
      <c r="CQ324" s="72">
        <f t="shared" si="2537"/>
        <v>278</v>
      </c>
      <c r="CR324" s="72">
        <f t="shared" si="2538"/>
        <v>309</v>
      </c>
      <c r="CS324" s="72">
        <f t="shared" si="2539"/>
        <v>322</v>
      </c>
      <c r="CT324" s="23">
        <f t="shared" si="2540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2541"/>
        <v>opsd_human_5DGY</v>
      </c>
      <c r="B325" s="3" t="s">
        <v>338</v>
      </c>
      <c r="C325" s="3" t="s">
        <v>1428</v>
      </c>
      <c r="D325" s="3" t="str">
        <f>IFERROR(MID(VLOOKUP($B325,Seqs!$A:$B,2,0),E325,1),"")</f>
        <v>P</v>
      </c>
      <c r="E325" s="3">
        <v>34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H</v>
      </c>
      <c r="O325" s="3">
        <v>100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>P</v>
      </c>
      <c r="Y325" s="3">
        <v>142</v>
      </c>
      <c r="Z325" s="3" t="str">
        <f>IFERROR(MID(VLOOKUP($B325,Seqs!$A:$B,2,0),AA325,1),"")</f>
        <v>F</v>
      </c>
      <c r="AA325" s="3">
        <v>148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A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542"/>
        <v>1</v>
      </c>
      <c r="BC325" s="23">
        <f t="shared" si="2515"/>
        <v>258</v>
      </c>
      <c r="BD325" s="2" t="s">
        <v>23</v>
      </c>
      <c r="BE325" s="3" t="s">
        <v>1285</v>
      </c>
      <c r="BF325" s="118">
        <v>7.7</v>
      </c>
      <c r="BG325" s="49" t="s">
        <v>1427</v>
      </c>
      <c r="BH325" s="49" t="s">
        <v>1427</v>
      </c>
      <c r="BI325" s="1"/>
      <c r="BJ325" s="70" t="s">
        <v>1281</v>
      </c>
      <c r="BK325" s="57" t="s">
        <v>1281</v>
      </c>
      <c r="BL325" s="57" t="s">
        <v>1281</v>
      </c>
      <c r="BM325" s="57" t="s">
        <v>1281</v>
      </c>
      <c r="BN325" s="57" t="s">
        <v>1281</v>
      </c>
      <c r="BO325" s="57" t="s">
        <v>1281</v>
      </c>
      <c r="BP325" s="57" t="s">
        <v>1281</v>
      </c>
      <c r="BQ325" s="57" t="s">
        <v>1281</v>
      </c>
      <c r="BR325" s="57" t="s">
        <v>1281</v>
      </c>
      <c r="BS325" s="57" t="s">
        <v>1281</v>
      </c>
      <c r="BT325" s="57" t="s">
        <v>1281</v>
      </c>
      <c r="BU325" s="57" t="s">
        <v>1281</v>
      </c>
      <c r="BV325" s="70">
        <f t="shared" si="2516"/>
        <v>34</v>
      </c>
      <c r="BW325" s="71">
        <f t="shared" si="2517"/>
        <v>66</v>
      </c>
      <c r="BX325" s="72">
        <f t="shared" si="2518"/>
        <v>70</v>
      </c>
      <c r="BY325" s="71">
        <f t="shared" si="2519"/>
        <v>102</v>
      </c>
      <c r="BZ325" s="72">
        <f t="shared" si="2520"/>
        <v>106</v>
      </c>
      <c r="CA325" s="71">
        <f t="shared" si="2521"/>
        <v>142</v>
      </c>
      <c r="CB325" s="72">
        <f t="shared" si="2522"/>
        <v>149</v>
      </c>
      <c r="CC325" s="71">
        <f t="shared" si="2523"/>
        <v>187</v>
      </c>
      <c r="CD325" s="72">
        <f t="shared" si="2524"/>
        <v>199</v>
      </c>
      <c r="CE325" s="71">
        <f t="shared" si="2525"/>
        <v>241</v>
      </c>
      <c r="CF325" s="72">
        <f t="shared" si="2526"/>
        <v>284</v>
      </c>
      <c r="CG325" s="71">
        <f t="shared" si="2527"/>
        <v>310</v>
      </c>
      <c r="CH325" s="70">
        <f t="shared" si="2528"/>
        <v>65</v>
      </c>
      <c r="CI325" s="71">
        <f t="shared" si="2529"/>
        <v>69</v>
      </c>
      <c r="CJ325" s="72">
        <f t="shared" si="2530"/>
        <v>100</v>
      </c>
      <c r="CK325" s="72">
        <f t="shared" si="2531"/>
        <v>105</v>
      </c>
      <c r="CL325" s="72">
        <f t="shared" si="2532"/>
        <v>141</v>
      </c>
      <c r="CM325" s="72">
        <f t="shared" si="2533"/>
        <v>148</v>
      </c>
      <c r="CN325" s="72">
        <f t="shared" si="2534"/>
        <v>173</v>
      </c>
      <c r="CO325" s="72">
        <f t="shared" si="2535"/>
        <v>189</v>
      </c>
      <c r="CP325" s="72">
        <f t="shared" si="2536"/>
        <v>237</v>
      </c>
      <c r="CQ325" s="72">
        <f t="shared" si="2537"/>
        <v>278</v>
      </c>
      <c r="CR325" s="72">
        <f t="shared" si="2538"/>
        <v>309</v>
      </c>
      <c r="CS325" s="72">
        <f t="shared" si="2539"/>
        <v>322</v>
      </c>
      <c r="CT325" s="23">
        <f t="shared" si="2540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>CONCATENATE(B326,"_",C326)</f>
        <v>opsd_human_5W0P</v>
      </c>
      <c r="B326" s="3" t="s">
        <v>338</v>
      </c>
      <c r="C326" s="3" t="s">
        <v>1426</v>
      </c>
      <c r="D326" s="3" t="str">
        <f>IFERROR(MID(VLOOKUP($B326,Seqs!$A:$B,2,0),E326,1),"")</f>
        <v>P</v>
      </c>
      <c r="E326" s="3">
        <v>34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H</v>
      </c>
      <c r="O326" s="3">
        <v>100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>P</v>
      </c>
      <c r="Y326" s="3">
        <v>142</v>
      </c>
      <c r="Z326" s="3" t="str">
        <f>IFERROR(MID(VLOOKUP($B326,Seqs!$A:$B,2,0),AA326,1),"")</f>
        <v>F</v>
      </c>
      <c r="AA326" s="3">
        <v>148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A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258</v>
      </c>
      <c r="BD326" s="2" t="s">
        <v>23</v>
      </c>
      <c r="BE326" s="3" t="s">
        <v>1285</v>
      </c>
      <c r="BF326" s="118">
        <v>3.01</v>
      </c>
      <c r="BG326" s="49" t="s">
        <v>1427</v>
      </c>
      <c r="BH326" s="49" t="s">
        <v>1427</v>
      </c>
      <c r="BI326" s="1"/>
      <c r="BJ326" s="70" t="s">
        <v>1281</v>
      </c>
      <c r="BK326" s="57" t="s">
        <v>1281</v>
      </c>
      <c r="BL326" s="57" t="s">
        <v>1281</v>
      </c>
      <c r="BM326" s="57" t="s">
        <v>1281</v>
      </c>
      <c r="BN326" s="57" t="s">
        <v>1281</v>
      </c>
      <c r="BO326" s="57" t="s">
        <v>1281</v>
      </c>
      <c r="BP326" s="57" t="s">
        <v>1281</v>
      </c>
      <c r="BQ326" s="57" t="s">
        <v>1281</v>
      </c>
      <c r="BR326" s="57" t="s">
        <v>1281</v>
      </c>
      <c r="BS326" s="57" t="s">
        <v>1281</v>
      </c>
      <c r="BT326" s="57" t="s">
        <v>1281</v>
      </c>
      <c r="BU326" s="57" t="s">
        <v>1281</v>
      </c>
      <c r="BV326" s="70">
        <f>E326</f>
        <v>34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>
        <f>Y326</f>
        <v>142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100</v>
      </c>
      <c r="CK326" s="72">
        <f>S326</f>
        <v>105</v>
      </c>
      <c r="CL326" s="72">
        <f>W326</f>
        <v>141</v>
      </c>
      <c r="CM326" s="72">
        <f>AA326</f>
        <v>148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>CONCATENATE(B327,"_",C327)</f>
        <v>opsd_human_6CMO</v>
      </c>
      <c r="B327" s="3" t="s">
        <v>338</v>
      </c>
      <c r="C327" s="3" t="s">
        <v>1496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E</v>
      </c>
      <c r="AC327" s="3">
        <v>150</v>
      </c>
      <c r="AD327" s="3" t="str">
        <f>IFERROR(MID(VLOOKUP($B327,Seqs!$A:$B,2,0),AE327,1),"")</f>
        <v>A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200</v>
      </c>
      <c r="AL327" s="3" t="str">
        <f>IFERROR(MID(VLOOKUP($B327,Seqs!$A:$B,2,0),AM327,1),"")</f>
        <v>Q</v>
      </c>
      <c r="AM327" s="3">
        <v>238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I</v>
      </c>
      <c r="AS327" s="3">
        <v>286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323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253</v>
      </c>
      <c r="BD327" s="2" t="s">
        <v>23</v>
      </c>
      <c r="BE327" s="3" t="s">
        <v>1285</v>
      </c>
      <c r="BF327" s="118">
        <v>4.5</v>
      </c>
      <c r="BG327" s="49" t="s">
        <v>1427</v>
      </c>
      <c r="BH327" s="49" t="s">
        <v>1427</v>
      </c>
      <c r="BI327" s="1"/>
      <c r="BJ327" s="70" t="s">
        <v>1281</v>
      </c>
      <c r="BK327" s="57" t="s">
        <v>1281</v>
      </c>
      <c r="BL327" s="57" t="s">
        <v>1281</v>
      </c>
      <c r="BM327" s="57" t="s">
        <v>1281</v>
      </c>
      <c r="BN327" s="57" t="s">
        <v>1281</v>
      </c>
      <c r="BO327" s="57" t="s">
        <v>1281</v>
      </c>
      <c r="BP327" s="57" t="s">
        <v>1281</v>
      </c>
      <c r="BQ327" s="57" t="s">
        <v>1281</v>
      </c>
      <c r="BR327" s="57" t="s">
        <v>1281</v>
      </c>
      <c r="BS327" s="57" t="s">
        <v>1281</v>
      </c>
      <c r="BT327" s="57" t="s">
        <v>1281</v>
      </c>
      <c r="BU327" s="57" t="s">
        <v>1281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150</v>
      </c>
      <c r="CC327" s="71">
        <f>AG327</f>
        <v>187</v>
      </c>
      <c r="CD327" s="72">
        <f>AK327</f>
        <v>200</v>
      </c>
      <c r="CE327" s="71">
        <f>AO327</f>
        <v>240</v>
      </c>
      <c r="CF327" s="72">
        <f>AS327</f>
        <v>286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238</v>
      </c>
      <c r="CQ327" s="72">
        <f>AQ327</f>
        <v>278</v>
      </c>
      <c r="CR327" s="72">
        <f>AU327</f>
        <v>309</v>
      </c>
      <c r="CS327" s="72">
        <f>AY327</f>
        <v>323</v>
      </c>
      <c r="CT327" s="23">
        <f>M327-K327</f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2541"/>
        <v>opsd_todpa__wt</v>
      </c>
      <c r="B328" s="3" t="s">
        <v>915</v>
      </c>
      <c r="C328" s="3" t="s">
        <v>100</v>
      </c>
      <c r="D328" s="3" t="str">
        <f>IFERROR(MID(VLOOKUP($B328,Seqs!$A:$B,2,0),E328,1),"")</f>
        <v>D</v>
      </c>
      <c r="E328" s="3">
        <v>31</v>
      </c>
      <c r="F328" s="3" t="str">
        <f>IFERROR(MID(VLOOKUP($B328,Seqs!$A:$B,2,0),G328,1),"")</f>
        <v>T</v>
      </c>
      <c r="G328" s="3">
        <v>62</v>
      </c>
      <c r="H328" s="3" t="str">
        <f>IFERROR(MID(VLOOKUP($B328,Seqs!$A:$B,2,0),I328,1),"")</f>
        <v>K</v>
      </c>
      <c r="I328" s="23">
        <v>63</v>
      </c>
      <c r="J328" s="3" t="str">
        <f>IFERROR(MID(VLOOKUP($B328,Seqs!$A:$B,2,0),K328,1),"")</f>
        <v>Q</v>
      </c>
      <c r="K328" s="23">
        <v>66</v>
      </c>
      <c r="L328" s="3" t="str">
        <f>IFERROR(MID(VLOOKUP($B328,Seqs!$A:$B,2,0),M328,1),"")</f>
        <v>T</v>
      </c>
      <c r="M328" s="3">
        <v>67</v>
      </c>
      <c r="N328" s="3" t="str">
        <f>IFERROR(MID(VLOOKUP($B328,Seqs!$A:$B,2,0),O328,1),"")</f>
        <v>K</v>
      </c>
      <c r="O328" s="3">
        <v>99</v>
      </c>
      <c r="P328" s="3" t="str">
        <f>IFERROR(MID(VLOOKUP($B328,Seqs!$A:$B,2,0),Q328,1),"")</f>
        <v>K</v>
      </c>
      <c r="Q328" s="3">
        <v>100</v>
      </c>
      <c r="R328" s="3" t="str">
        <f>IFERROR(MID(VLOOKUP($B328,Seqs!$A:$B,2,0),S328,1),"")</f>
        <v>F</v>
      </c>
      <c r="S328" s="3">
        <v>103</v>
      </c>
      <c r="T328" s="3" t="str">
        <f>IFERROR(MID(VLOOKUP($B328,Seqs!$A:$B,2,0),U328,1),"")</f>
        <v>G</v>
      </c>
      <c r="U328" s="3">
        <v>104</v>
      </c>
      <c r="V328" s="3" t="str">
        <f>IFERROR(MID(VLOOKUP($B328,Seqs!$A:$B,2,0),W328,1),"")</f>
        <v>R</v>
      </c>
      <c r="W328" s="3">
        <v>139</v>
      </c>
      <c r="X328" s="3" t="str">
        <f>IFERROR(MID(VLOOKUP($B328,Seqs!$A:$B,2,0),Y328,1),"")</f>
        <v>P</v>
      </c>
      <c r="Y328" s="3">
        <v>140</v>
      </c>
      <c r="Z328" s="3" t="str">
        <f>IFERROR(MID(VLOOKUP($B328,Seqs!$A:$B,2,0),AA328,1),"")</f>
        <v>M</v>
      </c>
      <c r="AA328" s="3">
        <v>147</v>
      </c>
      <c r="AB328" s="3" t="str">
        <f>IFERROR(MID(VLOOKUP($B328,Seqs!$A:$B,2,0),AC328,1),"")</f>
        <v>S</v>
      </c>
      <c r="AC328" s="9">
        <v>148</v>
      </c>
      <c r="AD328" s="3" t="str">
        <f>IFERROR(MID(VLOOKUP($B328,Seqs!$A:$B,2,0),AE328,1),"")</f>
        <v>F</v>
      </c>
      <c r="AE328" s="3">
        <v>172</v>
      </c>
      <c r="AF328" s="3" t="str">
        <f>IFERROR(MID(VLOOKUP($B328,Seqs!$A:$B,2,0),AG328,1),"")</f>
        <v>C</v>
      </c>
      <c r="AG328" s="3">
        <v>186</v>
      </c>
      <c r="AH328" s="3" t="str">
        <f>IFERROR(MID(VLOOKUP($B328,Seqs!$A:$B,2,0),AI328,1),"")</f>
        <v>F</v>
      </c>
      <c r="AI328" s="3">
        <v>188</v>
      </c>
      <c r="AJ328" s="3" t="str">
        <f>IFERROR(MID(VLOOKUP($B328,Seqs!$A:$B,2,0),AK328,1),"")</f>
        <v>D</v>
      </c>
      <c r="AK328" s="3">
        <v>194</v>
      </c>
      <c r="AL328" s="3" t="str">
        <f>IFERROR(MID(VLOOKUP($B328,Seqs!$A:$B,2,0),AM328,1),"")</f>
        <v>K</v>
      </c>
      <c r="AM328" s="3">
        <v>239</v>
      </c>
      <c r="AN328" s="3" t="str">
        <f>IFERROR(MID(VLOOKUP($B328,Seqs!$A:$B,2,0),AO328,1),"")</f>
        <v>K</v>
      </c>
      <c r="AO328" s="3">
        <v>244</v>
      </c>
      <c r="AP328" s="3" t="str">
        <f>IFERROR(MID(VLOOKUP($B328,Seqs!$A:$B,2,0),AQ328,1),"")</f>
        <v>G</v>
      </c>
      <c r="AQ328" s="3">
        <v>287</v>
      </c>
      <c r="AR328" s="3" t="str">
        <f>IFERROR(MID(VLOOKUP($B328,Seqs!$A:$B,2,0),AS328,1),"")</f>
        <v>T</v>
      </c>
      <c r="AS328" s="3">
        <v>293</v>
      </c>
      <c r="AT328" s="3" t="str">
        <f>IFERROR(MID(VLOOKUP($B328,Seqs!$A:$B,2,0),AU328,1),"")</f>
        <v>S</v>
      </c>
      <c r="AU328" s="3">
        <v>318</v>
      </c>
      <c r="AV328" s="3" t="str">
        <f>IFERROR(MID(VLOOKUP($B328,Seqs!$A:$B,2,0),AW328,1),"")</f>
        <v>H</v>
      </c>
      <c r="AW328" s="3">
        <v>319</v>
      </c>
      <c r="AX328" s="3" t="str">
        <f>IFERROR(MID(VLOOKUP($B328,Seqs!$A:$B,2,0),AY328,1),"")</f>
        <v>F</v>
      </c>
      <c r="AY328" s="3">
        <v>330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542"/>
        <v>1</v>
      </c>
      <c r="BC328" s="23">
        <f t="shared" si="2515"/>
        <v>273</v>
      </c>
      <c r="BD328" s="56" t="s">
        <v>23</v>
      </c>
      <c r="BE328" s="3" t="s">
        <v>23</v>
      </c>
      <c r="BF328" s="118" t="s">
        <v>23</v>
      </c>
      <c r="BG328" s="49" t="s">
        <v>1366</v>
      </c>
      <c r="BH328" s="49" t="s">
        <v>1371</v>
      </c>
      <c r="BI328" s="1"/>
      <c r="BJ328" s="70" t="s">
        <v>1281</v>
      </c>
      <c r="BK328" s="57" t="s">
        <v>1281</v>
      </c>
      <c r="BL328" s="57" t="s">
        <v>1281</v>
      </c>
      <c r="BM328" s="57" t="s">
        <v>1281</v>
      </c>
      <c r="BN328" s="57" t="s">
        <v>1281</v>
      </c>
      <c r="BO328" s="57" t="s">
        <v>1281</v>
      </c>
      <c r="BP328" s="57" t="s">
        <v>1281</v>
      </c>
      <c r="BQ328" s="57" t="s">
        <v>1281</v>
      </c>
      <c r="BR328" s="57" t="s">
        <v>1281</v>
      </c>
      <c r="BS328" s="57" t="s">
        <v>1281</v>
      </c>
      <c r="BT328" s="57" t="s">
        <v>1281</v>
      </c>
      <c r="BU328" s="57" t="s">
        <v>1281</v>
      </c>
      <c r="BV328" s="70">
        <f t="shared" si="2516"/>
        <v>31</v>
      </c>
      <c r="BW328" s="71">
        <f t="shared" si="2517"/>
        <v>63</v>
      </c>
      <c r="BX328" s="72">
        <f t="shared" si="2518"/>
        <v>67</v>
      </c>
      <c r="BY328" s="71">
        <f t="shared" si="2519"/>
        <v>100</v>
      </c>
      <c r="BZ328" s="72">
        <f t="shared" si="2520"/>
        <v>104</v>
      </c>
      <c r="CA328" s="71">
        <f t="shared" si="2521"/>
        <v>140</v>
      </c>
      <c r="CB328" s="72">
        <f t="shared" si="2522"/>
        <v>148</v>
      </c>
      <c r="CC328" s="71">
        <f t="shared" si="2523"/>
        <v>186</v>
      </c>
      <c r="CD328" s="72">
        <f t="shared" si="2524"/>
        <v>194</v>
      </c>
      <c r="CE328" s="71">
        <f t="shared" si="2525"/>
        <v>244</v>
      </c>
      <c r="CF328" s="72">
        <f t="shared" si="2526"/>
        <v>293</v>
      </c>
      <c r="CG328" s="71">
        <f t="shared" si="2527"/>
        <v>319</v>
      </c>
      <c r="CH328" s="70">
        <f t="shared" si="2528"/>
        <v>62</v>
      </c>
      <c r="CI328" s="71">
        <f t="shared" si="2529"/>
        <v>66</v>
      </c>
      <c r="CJ328" s="72">
        <f t="shared" si="2530"/>
        <v>99</v>
      </c>
      <c r="CK328" s="72">
        <f t="shared" si="2531"/>
        <v>103</v>
      </c>
      <c r="CL328" s="72">
        <f t="shared" si="2532"/>
        <v>139</v>
      </c>
      <c r="CM328" s="72">
        <f t="shared" si="2533"/>
        <v>147</v>
      </c>
      <c r="CN328" s="72">
        <f t="shared" si="2534"/>
        <v>172</v>
      </c>
      <c r="CO328" s="72">
        <f t="shared" si="2535"/>
        <v>188</v>
      </c>
      <c r="CP328" s="72">
        <f t="shared" si="2536"/>
        <v>239</v>
      </c>
      <c r="CQ328" s="72">
        <f t="shared" si="2537"/>
        <v>287</v>
      </c>
      <c r="CR328" s="72">
        <f t="shared" si="2538"/>
        <v>318</v>
      </c>
      <c r="CS328" s="72">
        <f t="shared" si="2539"/>
        <v>330</v>
      </c>
      <c r="CT328" s="23">
        <f t="shared" si="2540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2541"/>
        <v>opsd_todpa_2Z73</v>
      </c>
      <c r="B329" s="3" t="s">
        <v>915</v>
      </c>
      <c r="C329" s="3" t="s">
        <v>97</v>
      </c>
      <c r="D329" s="3" t="str">
        <f>IFERROR(MID(VLOOKUP($B329,Seqs!$A:$B,2,0),E329,1),"")</f>
        <v>D</v>
      </c>
      <c r="E329" s="3">
        <v>31</v>
      </c>
      <c r="F329" s="3" t="str">
        <f>IFERROR(MID(VLOOKUP($B329,Seqs!$A:$B,2,0),G329,1),"")</f>
        <v>T</v>
      </c>
      <c r="G329" s="3">
        <v>62</v>
      </c>
      <c r="H329" s="3" t="str">
        <f>IFERROR(MID(VLOOKUP($B329,Seqs!$A:$B,2,0),I329,1),"")</f>
        <v>K</v>
      </c>
      <c r="I329" s="23">
        <v>63</v>
      </c>
      <c r="J329" s="3" t="str">
        <f>IFERROR(MID(VLOOKUP($B329,Seqs!$A:$B,2,0),K329,1),"")</f>
        <v>Q</v>
      </c>
      <c r="K329" s="23">
        <v>66</v>
      </c>
      <c r="L329" s="3" t="str">
        <f>IFERROR(MID(VLOOKUP($B329,Seqs!$A:$B,2,0),M329,1),"")</f>
        <v>T</v>
      </c>
      <c r="M329" s="3">
        <v>67</v>
      </c>
      <c r="N329" s="3" t="str">
        <f>IFERROR(MID(VLOOKUP($B329,Seqs!$A:$B,2,0),O329,1),"")</f>
        <v>K</v>
      </c>
      <c r="O329" s="3">
        <v>99</v>
      </c>
      <c r="P329" s="3" t="str">
        <f>IFERROR(MID(VLOOKUP($B329,Seqs!$A:$B,2,0),Q329,1),"")</f>
        <v>K</v>
      </c>
      <c r="Q329" s="3">
        <v>100</v>
      </c>
      <c r="R329" s="3" t="str">
        <f>IFERROR(MID(VLOOKUP($B329,Seqs!$A:$B,2,0),S329,1),"")</f>
        <v>F</v>
      </c>
      <c r="S329" s="3">
        <v>103</v>
      </c>
      <c r="T329" s="3" t="str">
        <f>IFERROR(MID(VLOOKUP($B329,Seqs!$A:$B,2,0),U329,1),"")</f>
        <v>G</v>
      </c>
      <c r="U329" s="3">
        <v>104</v>
      </c>
      <c r="V329" s="3" t="str">
        <f>IFERROR(MID(VLOOKUP($B329,Seqs!$A:$B,2,0),W329,1),"")</f>
        <v>R</v>
      </c>
      <c r="W329" s="3">
        <v>139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148</v>
      </c>
      <c r="AD329" s="3" t="str">
        <f>IFERROR(MID(VLOOKUP($B329,Seqs!$A:$B,2,0),AE329,1),"")</f>
        <v>F</v>
      </c>
      <c r="AE329" s="3">
        <v>172</v>
      </c>
      <c r="AF329" s="3" t="str">
        <f>IFERROR(MID(VLOOKUP($B329,Seqs!$A:$B,2,0),AG329,1),"")</f>
        <v>C</v>
      </c>
      <c r="AG329" s="3">
        <v>186</v>
      </c>
      <c r="AH329" s="3" t="str">
        <f>IFERROR(MID(VLOOKUP($B329,Seqs!$A:$B,2,0),AI329,1),"")</f>
        <v>F</v>
      </c>
      <c r="AI329" s="3">
        <v>188</v>
      </c>
      <c r="AJ329" s="3" t="str">
        <f>IFERROR(MID(VLOOKUP($B329,Seqs!$A:$B,2,0),AK329,1),"")</f>
        <v>D</v>
      </c>
      <c r="AK329" s="3">
        <v>194</v>
      </c>
      <c r="AL329" s="3" t="str">
        <f>IFERROR(MID(VLOOKUP($B329,Seqs!$A:$B,2,0),AM329,1),"")</f>
        <v>K</v>
      </c>
      <c r="AM329" s="3">
        <v>239</v>
      </c>
      <c r="AN329" s="3" t="str">
        <f>IFERROR(MID(VLOOKUP($B329,Seqs!$A:$B,2,0),AO329,1),"")</f>
        <v>K</v>
      </c>
      <c r="AO329" s="3">
        <v>244</v>
      </c>
      <c r="AP329" s="3" t="str">
        <f>IFERROR(MID(VLOOKUP($B329,Seqs!$A:$B,2,0),AQ329,1),"")</f>
        <v>G</v>
      </c>
      <c r="AQ329" s="3">
        <v>287</v>
      </c>
      <c r="AR329" s="3" t="str">
        <f>IFERROR(MID(VLOOKUP($B329,Seqs!$A:$B,2,0),AS329,1),"")</f>
        <v>T</v>
      </c>
      <c r="AS329" s="3">
        <v>293</v>
      </c>
      <c r="AT329" s="3" t="str">
        <f>IFERROR(MID(VLOOKUP($B329,Seqs!$A:$B,2,0),AU329,1),"")</f>
        <v>S</v>
      </c>
      <c r="AU329" s="3">
        <v>318</v>
      </c>
      <c r="AV329" s="3" t="str">
        <f>IFERROR(MID(VLOOKUP($B329,Seqs!$A:$B,2,0),AW329,1),"")</f>
        <v>H</v>
      </c>
      <c r="AW329" s="3">
        <v>319</v>
      </c>
      <c r="AX329" s="3" t="str">
        <f>IFERROR(MID(VLOOKUP($B329,Seqs!$A:$B,2,0),AY329,1),"")</f>
        <v>F</v>
      </c>
      <c r="AY329" s="3">
        <v>330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542"/>
        <v>1</v>
      </c>
      <c r="BC329" s="23">
        <f t="shared" si="2515"/>
        <v>266</v>
      </c>
      <c r="BD329" s="2" t="s">
        <v>23</v>
      </c>
      <c r="BE329" s="3" t="s">
        <v>1368</v>
      </c>
      <c r="BF329" s="118">
        <v>2.5</v>
      </c>
      <c r="BG329" s="49" t="s">
        <v>1371</v>
      </c>
      <c r="BH329" s="49" t="s">
        <v>1371</v>
      </c>
      <c r="BI329" s="1"/>
      <c r="BJ329" s="70" t="s">
        <v>1281</v>
      </c>
      <c r="BK329" s="57" t="s">
        <v>1281</v>
      </c>
      <c r="BL329" s="57" t="s">
        <v>1281</v>
      </c>
      <c r="BM329" s="57" t="s">
        <v>1281</v>
      </c>
      <c r="BN329" s="57" t="s">
        <v>1281</v>
      </c>
      <c r="BO329" s="57" t="s">
        <v>1281</v>
      </c>
      <c r="BP329" s="57" t="s">
        <v>1281</v>
      </c>
      <c r="BQ329" s="57" t="s">
        <v>1281</v>
      </c>
      <c r="BR329" s="57" t="s">
        <v>1281</v>
      </c>
      <c r="BS329" s="57" t="s">
        <v>1281</v>
      </c>
      <c r="BT329" s="57" t="s">
        <v>1281</v>
      </c>
      <c r="BU329" s="57" t="s">
        <v>1281</v>
      </c>
      <c r="BV329" s="70">
        <f t="shared" si="2516"/>
        <v>31</v>
      </c>
      <c r="BW329" s="71">
        <f t="shared" si="2517"/>
        <v>63</v>
      </c>
      <c r="BX329" s="72">
        <f t="shared" si="2518"/>
        <v>67</v>
      </c>
      <c r="BY329" s="71">
        <f t="shared" si="2519"/>
        <v>100</v>
      </c>
      <c r="BZ329" s="72">
        <f t="shared" si="2520"/>
        <v>104</v>
      </c>
      <c r="CA329" s="71" t="str">
        <f t="shared" si="2521"/>
        <v>-</v>
      </c>
      <c r="CB329" s="72">
        <f t="shared" si="2522"/>
        <v>148</v>
      </c>
      <c r="CC329" s="71">
        <f t="shared" si="2523"/>
        <v>186</v>
      </c>
      <c r="CD329" s="72">
        <f t="shared" si="2524"/>
        <v>194</v>
      </c>
      <c r="CE329" s="71">
        <f t="shared" si="2525"/>
        <v>244</v>
      </c>
      <c r="CF329" s="72">
        <f t="shared" si="2526"/>
        <v>293</v>
      </c>
      <c r="CG329" s="71">
        <f t="shared" si="2527"/>
        <v>319</v>
      </c>
      <c r="CH329" s="70">
        <f t="shared" si="2528"/>
        <v>62</v>
      </c>
      <c r="CI329" s="71">
        <f t="shared" si="2529"/>
        <v>66</v>
      </c>
      <c r="CJ329" s="72">
        <f t="shared" si="2530"/>
        <v>99</v>
      </c>
      <c r="CK329" s="72">
        <f t="shared" si="2531"/>
        <v>103</v>
      </c>
      <c r="CL329" s="72">
        <f t="shared" si="2532"/>
        <v>139</v>
      </c>
      <c r="CM329" s="72" t="str">
        <f t="shared" si="2533"/>
        <v>-</v>
      </c>
      <c r="CN329" s="72">
        <f t="shared" si="2534"/>
        <v>172</v>
      </c>
      <c r="CO329" s="72">
        <f t="shared" si="2535"/>
        <v>188</v>
      </c>
      <c r="CP329" s="72">
        <f t="shared" si="2536"/>
        <v>239</v>
      </c>
      <c r="CQ329" s="72">
        <f t="shared" si="2537"/>
        <v>287</v>
      </c>
      <c r="CR329" s="72">
        <f t="shared" si="2538"/>
        <v>318</v>
      </c>
      <c r="CS329" s="72">
        <f t="shared" si="2539"/>
        <v>330</v>
      </c>
      <c r="CT329" s="23">
        <f t="shared" si="2540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2"/>
    </row>
    <row r="330" spans="1:1030" x14ac:dyDescent="0.2">
      <c r="A330" s="3" t="str">
        <f t="shared" si="2541"/>
        <v>ox1r_human__wt</v>
      </c>
      <c r="B330" s="3" t="s">
        <v>1168</v>
      </c>
      <c r="C330" s="3" t="s">
        <v>100</v>
      </c>
      <c r="D330" s="3" t="str">
        <f>IFERROR(MID(VLOOKUP($B330,Seqs!$A:$B,2,0),E330,1),"")</f>
        <v>E</v>
      </c>
      <c r="E330" s="3">
        <v>46</v>
      </c>
      <c r="F330" s="3" t="str">
        <f>IFERROR(MID(VLOOKUP($B330,Seqs!$A:$B,2,0),G330,1),"")</f>
        <v>N</v>
      </c>
      <c r="G330" s="3">
        <v>74</v>
      </c>
      <c r="H330" s="3" t="str">
        <f>IFERROR(MID(VLOOKUP($B330,Seqs!$A:$B,2,0),I330,1),"")</f>
        <v>H</v>
      </c>
      <c r="I330" s="23">
        <v>75</v>
      </c>
      <c r="J330" s="3" t="str">
        <f>IFERROR(MID(VLOOKUP($B330,Seqs!$A:$B,2,0),K330,1),"")</f>
        <v>R</v>
      </c>
      <c r="K330" s="23">
        <v>78</v>
      </c>
      <c r="L330" s="3" t="str">
        <f>IFERROR(MID(VLOOKUP($B330,Seqs!$A:$B,2,0),M330,1),"")</f>
        <v>T</v>
      </c>
      <c r="M330" s="3">
        <v>79</v>
      </c>
      <c r="N330" s="3" t="str">
        <f>IFERROR(MID(VLOOKUP($B330,Seqs!$A:$B,2,0),O330,1),"")</f>
        <v>E</v>
      </c>
      <c r="O330" s="105">
        <v>110</v>
      </c>
      <c r="P330" s="3" t="str">
        <f>IFERROR(MID(VLOOKUP($B330,Seqs!$A:$B,2,0),Q330,1),"")</f>
        <v>S</v>
      </c>
      <c r="Q330" s="3">
        <v>111</v>
      </c>
      <c r="R330" s="3" t="str">
        <f>IFERROR(MID(VLOOKUP($B330,Seqs!$A:$B,2,0),S330,1),"")</f>
        <v>F</v>
      </c>
      <c r="S330" s="3">
        <v>114</v>
      </c>
      <c r="T330" s="3" t="str">
        <f>IFERROR(MID(VLOOKUP($B330,Seqs!$A:$B,2,0),U330,1),"")</f>
        <v>G</v>
      </c>
      <c r="U330" s="3">
        <v>115</v>
      </c>
      <c r="V330" s="3" t="str">
        <f>IFERROR(MID(VLOOKUP($B330,Seqs!$A:$B,2,0),W330,1),"")</f>
        <v>H</v>
      </c>
      <c r="W330" s="3">
        <v>150</v>
      </c>
      <c r="X330" s="3" t="str">
        <f>IFERROR(MID(VLOOKUP($B330,Seqs!$A:$B,2,0),Y330,1),"")</f>
        <v>P</v>
      </c>
      <c r="Y330" s="3">
        <v>151</v>
      </c>
      <c r="Z330" s="3" t="str">
        <f>IFERROR(MID(VLOOKUP($B330,Seqs!$A:$B,2,0),AA330,1),"")</f>
        <v>F</v>
      </c>
      <c r="AA330" s="73">
        <v>154</v>
      </c>
      <c r="AB330" s="3" t="str">
        <f>IFERROR(MID(VLOOKUP($B330,Seqs!$A:$B,2,0),AC330,1),"")</f>
        <v>T</v>
      </c>
      <c r="AC330" s="9">
        <v>157</v>
      </c>
      <c r="AD330" s="3" t="str">
        <f>IFERROR(MID(VLOOKUP($B330,Seqs!$A:$B,2,0),AE330,1),"")</f>
        <v>M</v>
      </c>
      <c r="AE330" s="3">
        <v>183</v>
      </c>
      <c r="AF330" s="3" t="str">
        <f>IFERROR(MID(VLOOKUP($B330,Seqs!$A:$B,2,0),AG330,1),"")</f>
        <v>C</v>
      </c>
      <c r="AG330" s="3">
        <v>202</v>
      </c>
      <c r="AH330" s="3" t="str">
        <f>IFERROR(MID(VLOOKUP($B330,Seqs!$A:$B,2,0),AI330,1),"")</f>
        <v>E</v>
      </c>
      <c r="AI330" s="3">
        <v>204</v>
      </c>
      <c r="AJ330" s="3" t="str">
        <f>IFERROR(MID(VLOOKUP($B330,Seqs!$A:$B,2,0),AK330,1),"")</f>
        <v>L</v>
      </c>
      <c r="AK330" s="105">
        <v>210</v>
      </c>
      <c r="AL330" s="3" t="str">
        <f>IFERROR(MID(VLOOKUP($B330,Seqs!$A:$B,2,0),AM330,1),"")</f>
        <v>P</v>
      </c>
      <c r="AM330" s="3">
        <v>248</v>
      </c>
      <c r="AN330" s="3" t="str">
        <f>IFERROR(MID(VLOOKUP($B330,Seqs!$A:$B,2,0),AO330,1),"")</f>
        <v>F</v>
      </c>
      <c r="AO330" s="3">
        <v>283</v>
      </c>
      <c r="AP330" s="3" t="str">
        <f>IFERROR(MID(VLOOKUP($B330,Seqs!$A:$B,2,0),AQ330,1),"")</f>
        <v>F</v>
      </c>
      <c r="AQ330" s="3">
        <v>324</v>
      </c>
      <c r="AR330" s="3" t="str">
        <f>IFERROR(MID(VLOOKUP($B330,Seqs!$A:$B,2,0),AS330,1),"")</f>
        <v>D</v>
      </c>
      <c r="AS330" s="105">
        <v>332</v>
      </c>
      <c r="AT330" s="3" t="str">
        <f>IFERROR(MID(VLOOKUP($B330,Seqs!$A:$B,2,0),AU330,1),"")</f>
        <v>L</v>
      </c>
      <c r="AU330" s="3">
        <v>361</v>
      </c>
      <c r="AV330" s="3" t="str">
        <f>IFERROR(MID(VLOOKUP($B330,Seqs!$A:$B,2,0),AW330,1),"")</f>
        <v>S</v>
      </c>
      <c r="AW330" s="3">
        <v>362</v>
      </c>
      <c r="AX330" s="3" t="str">
        <f>IFERROR(MID(VLOOKUP($B330,Seqs!$A:$B,2,0),AY330,1),"")</f>
        <v>P</v>
      </c>
      <c r="AY330" s="3">
        <v>378</v>
      </c>
      <c r="AZ330" s="77" t="str">
        <f>VLOOKUP(B330,Classification!A:D,2,0)</f>
        <v>A</v>
      </c>
      <c r="BA330" s="94" t="str">
        <f>VLOOKUP(B330,Classification!A:D,4,0)</f>
        <v>Orexin</v>
      </c>
      <c r="BB330" s="27" t="b">
        <f t="shared" si="2542"/>
        <v>1</v>
      </c>
      <c r="BC330" s="23">
        <f t="shared" si="2515"/>
        <v>267</v>
      </c>
      <c r="BD330" s="56" t="s">
        <v>23</v>
      </c>
      <c r="BE330" s="3" t="s">
        <v>23</v>
      </c>
      <c r="BF330" s="118" t="s">
        <v>23</v>
      </c>
      <c r="BG330" s="49" t="s">
        <v>1366</v>
      </c>
      <c r="BH330" s="49" t="s">
        <v>1371</v>
      </c>
      <c r="BI330" s="1"/>
      <c r="BJ330" s="70" t="s">
        <v>1281</v>
      </c>
      <c r="BK330" s="57" t="s">
        <v>1281</v>
      </c>
      <c r="BL330" s="57" t="s">
        <v>1281</v>
      </c>
      <c r="BM330" s="57" t="s">
        <v>1281</v>
      </c>
      <c r="BN330" s="57" t="s">
        <v>1281</v>
      </c>
      <c r="BO330" s="57" t="s">
        <v>1281</v>
      </c>
      <c r="BP330" s="57" t="s">
        <v>1281</v>
      </c>
      <c r="BQ330" s="57" t="s">
        <v>1281</v>
      </c>
      <c r="BR330" s="57" t="s">
        <v>1281</v>
      </c>
      <c r="BS330" s="57" t="s">
        <v>1281</v>
      </c>
      <c r="BT330" s="57" t="s">
        <v>1281</v>
      </c>
      <c r="BU330" s="57" t="s">
        <v>1281</v>
      </c>
      <c r="BV330" s="70">
        <f t="shared" si="2516"/>
        <v>46</v>
      </c>
      <c r="BW330" s="71">
        <f t="shared" si="2517"/>
        <v>75</v>
      </c>
      <c r="BX330" s="72">
        <f t="shared" si="2518"/>
        <v>79</v>
      </c>
      <c r="BY330" s="71">
        <f t="shared" si="2519"/>
        <v>111</v>
      </c>
      <c r="BZ330" s="72">
        <f t="shared" si="2520"/>
        <v>115</v>
      </c>
      <c r="CA330" s="71">
        <f t="shared" si="2521"/>
        <v>151</v>
      </c>
      <c r="CB330" s="72">
        <f t="shared" si="2522"/>
        <v>157</v>
      </c>
      <c r="CC330" s="71">
        <f t="shared" si="2523"/>
        <v>202</v>
      </c>
      <c r="CD330" s="72">
        <f t="shared" si="2524"/>
        <v>210</v>
      </c>
      <c r="CE330" s="71">
        <f t="shared" si="2525"/>
        <v>283</v>
      </c>
      <c r="CF330" s="72">
        <f t="shared" si="2526"/>
        <v>332</v>
      </c>
      <c r="CG330" s="71">
        <f t="shared" si="2527"/>
        <v>362</v>
      </c>
      <c r="CH330" s="70">
        <f t="shared" si="2528"/>
        <v>74</v>
      </c>
      <c r="CI330" s="71">
        <f t="shared" si="2529"/>
        <v>78</v>
      </c>
      <c r="CJ330" s="72">
        <f t="shared" si="2530"/>
        <v>110</v>
      </c>
      <c r="CK330" s="72">
        <f t="shared" si="2531"/>
        <v>114</v>
      </c>
      <c r="CL330" s="72">
        <f t="shared" si="2532"/>
        <v>150</v>
      </c>
      <c r="CM330" s="72">
        <f t="shared" si="2533"/>
        <v>154</v>
      </c>
      <c r="CN330" s="72">
        <f t="shared" si="2534"/>
        <v>183</v>
      </c>
      <c r="CO330" s="72">
        <f t="shared" si="2535"/>
        <v>204</v>
      </c>
      <c r="CP330" s="72">
        <f t="shared" si="2536"/>
        <v>248</v>
      </c>
      <c r="CQ330" s="72">
        <f t="shared" si="2537"/>
        <v>324</v>
      </c>
      <c r="CR330" s="72">
        <f t="shared" si="2538"/>
        <v>361</v>
      </c>
      <c r="CS330" s="72">
        <f t="shared" si="2539"/>
        <v>378</v>
      </c>
      <c r="CT330" s="23">
        <f t="shared" si="2540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2541"/>
        <v>ox1r_human_4ZJ8</v>
      </c>
      <c r="B331" s="3" t="s">
        <v>1168</v>
      </c>
      <c r="C331" s="3" t="s">
        <v>90</v>
      </c>
      <c r="D331" s="3" t="str">
        <f>IFERROR(MID(VLOOKUP($B331,Seqs!$A:$B,2,0),E331,1),"")</f>
        <v>E</v>
      </c>
      <c r="E331" s="3">
        <v>46</v>
      </c>
      <c r="F331" s="3" t="str">
        <f>IFERROR(MID(VLOOKUP($B331,Seqs!$A:$B,2,0),G331,1),"")</f>
        <v>N</v>
      </c>
      <c r="G331" s="3">
        <v>74</v>
      </c>
      <c r="H331" s="3" t="str">
        <f>IFERROR(MID(VLOOKUP($B331,Seqs!$A:$B,2,0),I331,1),"")</f>
        <v>H</v>
      </c>
      <c r="I331" s="23">
        <v>75</v>
      </c>
      <c r="J331" s="3" t="str">
        <f>IFERROR(MID(VLOOKUP($B331,Seqs!$A:$B,2,0),K331,1),"")</f>
        <v>R</v>
      </c>
      <c r="K331" s="23">
        <v>78</v>
      </c>
      <c r="L331" s="3" t="str">
        <f>IFERROR(MID(VLOOKUP($B331,Seqs!$A:$B,2,0),M331,1),"")</f>
        <v>T</v>
      </c>
      <c r="M331" s="3">
        <v>79</v>
      </c>
      <c r="N331" s="3" t="str">
        <f>IFERROR(MID(VLOOKUP($B331,Seqs!$A:$B,2,0),O331,1),"")</f>
        <v>E</v>
      </c>
      <c r="O331" s="3">
        <v>110</v>
      </c>
      <c r="P331" s="3" t="str">
        <f>IFERROR(MID(VLOOKUP($B331,Seqs!$A:$B,2,0),Q331,1),"")</f>
        <v>S</v>
      </c>
      <c r="Q331" s="3">
        <v>111</v>
      </c>
      <c r="R331" s="3" t="str">
        <f>IFERROR(MID(VLOOKUP($B331,Seqs!$A:$B,2,0),S331,1),"")</f>
        <v>F</v>
      </c>
      <c r="S331" s="3">
        <v>114</v>
      </c>
      <c r="T331" s="3" t="str">
        <f>IFERROR(MID(VLOOKUP($B331,Seqs!$A:$B,2,0),U331,1),"")</f>
        <v>G</v>
      </c>
      <c r="U331" s="3">
        <v>115</v>
      </c>
      <c r="V331" s="3" t="str">
        <f>IFERROR(MID(VLOOKUP($B331,Seqs!$A:$B,2,0),W331,1),"")</f>
        <v>H</v>
      </c>
      <c r="W331" s="3">
        <v>150</v>
      </c>
      <c r="X331" s="3" t="str">
        <f>IFERROR(MID(VLOOKUP($B331,Seqs!$A:$B,2,0),Y331,1),"")</f>
        <v>P</v>
      </c>
      <c r="Y331" s="3">
        <v>151</v>
      </c>
      <c r="Z331" s="3" t="str">
        <f>IFERROR(MID(VLOOKUP($B331,Seqs!$A:$B,2,0),AA331,1),"")</f>
        <v>F</v>
      </c>
      <c r="AA331" s="3">
        <v>154</v>
      </c>
      <c r="AB331" s="3" t="str">
        <f>IFERROR(MID(VLOOKUP($B331,Seqs!$A:$B,2,0),AC331,1),"")</f>
        <v>T</v>
      </c>
      <c r="AC331" s="9">
        <v>157</v>
      </c>
      <c r="AD331" s="3" t="str">
        <f>IFERROR(MID(VLOOKUP($B331,Seqs!$A:$B,2,0),AE331,1),"")</f>
        <v>M</v>
      </c>
      <c r="AE331" s="3">
        <v>183</v>
      </c>
      <c r="AF331" s="3" t="str">
        <f>IFERROR(MID(VLOOKUP($B331,Seqs!$A:$B,2,0),AG331,1),"")</f>
        <v>C</v>
      </c>
      <c r="AG331" s="3">
        <v>202</v>
      </c>
      <c r="AH331" s="3" t="str">
        <f>IFERROR(MID(VLOOKUP($B331,Seqs!$A:$B,2,0),AI331,1),"")</f>
        <v>E</v>
      </c>
      <c r="AI331" s="3">
        <v>204</v>
      </c>
      <c r="AJ331" s="3" t="str">
        <f>IFERROR(MID(VLOOKUP($B331,Seqs!$A:$B,2,0),AK331,1),"")</f>
        <v>L</v>
      </c>
      <c r="AK331" s="3">
        <v>210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K</v>
      </c>
      <c r="AO331" s="3">
        <v>288</v>
      </c>
      <c r="AP331" s="3" t="str">
        <f>IFERROR(MID(VLOOKUP($B331,Seqs!$A:$B,2,0),AQ331,1),"")</f>
        <v>F</v>
      </c>
      <c r="AQ331" s="3">
        <v>324</v>
      </c>
      <c r="AR331" s="3" t="str">
        <f>IFERROR(MID(VLOOKUP($B331,Seqs!$A:$B,2,0),AS331,1),"")</f>
        <v>R</v>
      </c>
      <c r="AS331" s="3">
        <v>333</v>
      </c>
      <c r="AT331" s="3" t="str">
        <f>IFERROR(MID(VLOOKUP($B331,Seqs!$A:$B,2,0),AU331,1),"")</f>
        <v>L</v>
      </c>
      <c r="AU331" s="3">
        <v>361</v>
      </c>
      <c r="AV331" s="3" t="str">
        <f>IFERROR(MID(VLOOKUP($B331,Seqs!$A:$B,2,0),AW331,1),"")</f>
        <v>S</v>
      </c>
      <c r="AW331" s="3">
        <v>362</v>
      </c>
      <c r="AX331" s="3" t="str">
        <f>IFERROR(MID(VLOOKUP($B331,Seqs!$A:$B,2,0),AY331,1),"")</f>
        <v>F</v>
      </c>
      <c r="AY331" s="3">
        <v>373</v>
      </c>
      <c r="AZ331" s="77" t="str">
        <f>VLOOKUP(B331,Classification!A:D,2,0)</f>
        <v>A</v>
      </c>
      <c r="BA331" s="94" t="str">
        <f>VLOOKUP(B331,Classification!A:D,4,0)</f>
        <v>Orexin</v>
      </c>
      <c r="BB331" s="27" t="b">
        <f t="shared" si="2542"/>
        <v>1</v>
      </c>
      <c r="BC331" s="23">
        <f t="shared" si="2515"/>
        <v>250</v>
      </c>
      <c r="BD331" s="4" t="s">
        <v>23</v>
      </c>
      <c r="BE331" s="3" t="s">
        <v>1368</v>
      </c>
      <c r="BF331" s="118">
        <v>2.75</v>
      </c>
      <c r="BG331" s="49" t="s">
        <v>1371</v>
      </c>
      <c r="BH331" s="49" t="s">
        <v>1371</v>
      </c>
      <c r="BI331" s="1"/>
      <c r="BJ331" s="70" t="s">
        <v>1281</v>
      </c>
      <c r="BK331" s="57" t="s">
        <v>1281</v>
      </c>
      <c r="BL331" s="57" t="s">
        <v>1281</v>
      </c>
      <c r="BM331" s="57" t="s">
        <v>1281</v>
      </c>
      <c r="BN331" s="57" t="s">
        <v>1281</v>
      </c>
      <c r="BO331" s="57" t="s">
        <v>1281</v>
      </c>
      <c r="BP331" s="57" t="s">
        <v>1281</v>
      </c>
      <c r="BQ331" s="57" t="s">
        <v>1281</v>
      </c>
      <c r="BR331" s="57" t="s">
        <v>1281</v>
      </c>
      <c r="BS331" s="57" t="s">
        <v>1281</v>
      </c>
      <c r="BT331" s="57" t="s">
        <v>1281</v>
      </c>
      <c r="BU331" s="57" t="s">
        <v>1281</v>
      </c>
      <c r="BV331" s="70">
        <f t="shared" si="2516"/>
        <v>46</v>
      </c>
      <c r="BW331" s="71">
        <f t="shared" si="2517"/>
        <v>75</v>
      </c>
      <c r="BX331" s="72">
        <f t="shared" si="2518"/>
        <v>79</v>
      </c>
      <c r="BY331" s="71">
        <f t="shared" si="2519"/>
        <v>111</v>
      </c>
      <c r="BZ331" s="72">
        <f t="shared" si="2520"/>
        <v>115</v>
      </c>
      <c r="CA331" s="71">
        <f t="shared" si="2521"/>
        <v>151</v>
      </c>
      <c r="CB331" s="72">
        <f t="shared" si="2522"/>
        <v>157</v>
      </c>
      <c r="CC331" s="71">
        <f t="shared" si="2523"/>
        <v>202</v>
      </c>
      <c r="CD331" s="72">
        <f t="shared" si="2524"/>
        <v>210</v>
      </c>
      <c r="CE331" s="71">
        <f t="shared" si="2525"/>
        <v>288</v>
      </c>
      <c r="CF331" s="72">
        <f t="shared" si="2526"/>
        <v>333</v>
      </c>
      <c r="CG331" s="71">
        <f t="shared" si="2527"/>
        <v>362</v>
      </c>
      <c r="CH331" s="70">
        <f t="shared" si="2528"/>
        <v>74</v>
      </c>
      <c r="CI331" s="71">
        <f t="shared" si="2529"/>
        <v>78</v>
      </c>
      <c r="CJ331" s="72">
        <f t="shared" si="2530"/>
        <v>110</v>
      </c>
      <c r="CK331" s="72">
        <f t="shared" si="2531"/>
        <v>114</v>
      </c>
      <c r="CL331" s="72">
        <f t="shared" si="2532"/>
        <v>150</v>
      </c>
      <c r="CM331" s="72">
        <f t="shared" si="2533"/>
        <v>154</v>
      </c>
      <c r="CN331" s="72">
        <f t="shared" si="2534"/>
        <v>183</v>
      </c>
      <c r="CO331" s="72">
        <f t="shared" si="2535"/>
        <v>204</v>
      </c>
      <c r="CP331" s="72">
        <f t="shared" si="2536"/>
        <v>242</v>
      </c>
      <c r="CQ331" s="72">
        <f t="shared" si="2537"/>
        <v>324</v>
      </c>
      <c r="CR331" s="72">
        <f t="shared" si="2538"/>
        <v>361</v>
      </c>
      <c r="CS331" s="72">
        <f t="shared" si="2539"/>
        <v>373</v>
      </c>
      <c r="CT331" s="23">
        <f t="shared" si="2540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2"/>
    </row>
    <row r="332" spans="1:1030" x14ac:dyDescent="0.2">
      <c r="A332" s="3" t="str">
        <f t="shared" si="2541"/>
        <v>ox1r_human_4ZJC</v>
      </c>
      <c r="B332" s="3" t="s">
        <v>1168</v>
      </c>
      <c r="C332" s="3" t="s">
        <v>91</v>
      </c>
      <c r="D332" s="3" t="str">
        <f>IFERROR(MID(VLOOKUP($B332,Seqs!$A:$B,2,0),E332,1),"")</f>
        <v>E</v>
      </c>
      <c r="E332" s="3">
        <v>46</v>
      </c>
      <c r="F332" s="3" t="str">
        <f>IFERROR(MID(VLOOKUP($B332,Seqs!$A:$B,2,0),G332,1),"")</f>
        <v>N</v>
      </c>
      <c r="G332" s="3">
        <v>74</v>
      </c>
      <c r="H332" s="3" t="str">
        <f>IFERROR(MID(VLOOKUP($B332,Seqs!$A:$B,2,0),I332,1),"")</f>
        <v>H</v>
      </c>
      <c r="I332" s="23">
        <v>75</v>
      </c>
      <c r="J332" s="3" t="str">
        <f>IFERROR(MID(VLOOKUP($B332,Seqs!$A:$B,2,0),K332,1),"")</f>
        <v>R</v>
      </c>
      <c r="K332" s="23">
        <v>78</v>
      </c>
      <c r="L332" s="3" t="str">
        <f>IFERROR(MID(VLOOKUP($B332,Seqs!$A:$B,2,0),M332,1),"")</f>
        <v>T</v>
      </c>
      <c r="M332" s="3">
        <v>79</v>
      </c>
      <c r="N332" s="3" t="str">
        <f>IFERROR(MID(VLOOKUP($B332,Seqs!$A:$B,2,0),O332,1),"")</f>
        <v>E</v>
      </c>
      <c r="O332" s="3">
        <v>110</v>
      </c>
      <c r="P332" s="3" t="str">
        <f>IFERROR(MID(VLOOKUP($B332,Seqs!$A:$B,2,0),Q332,1),"")</f>
        <v>S</v>
      </c>
      <c r="Q332" s="3">
        <v>111</v>
      </c>
      <c r="R332" s="3" t="str">
        <f>IFERROR(MID(VLOOKUP($B332,Seqs!$A:$B,2,0),S332,1),"")</f>
        <v>F</v>
      </c>
      <c r="S332" s="3">
        <v>114</v>
      </c>
      <c r="T332" s="3" t="str">
        <f>IFERROR(MID(VLOOKUP($B332,Seqs!$A:$B,2,0),U332,1),"")</f>
        <v>G</v>
      </c>
      <c r="U332" s="3">
        <v>115</v>
      </c>
      <c r="V332" s="3" t="str">
        <f>IFERROR(MID(VLOOKUP($B332,Seqs!$A:$B,2,0),W332,1),"")</f>
        <v>H</v>
      </c>
      <c r="W332" s="3">
        <v>150</v>
      </c>
      <c r="X332" s="3" t="str">
        <f>IFERROR(MID(VLOOKUP($B332,Seqs!$A:$B,2,0),Y332,1),"")</f>
        <v>P</v>
      </c>
      <c r="Y332" s="3">
        <v>151</v>
      </c>
      <c r="Z332" s="3" t="str">
        <f>IFERROR(MID(VLOOKUP($B332,Seqs!$A:$B,2,0),AA332,1),"")</f>
        <v>F</v>
      </c>
      <c r="AA332" s="3">
        <v>154</v>
      </c>
      <c r="AB332" s="3" t="str">
        <f>IFERROR(MID(VLOOKUP($B332,Seqs!$A:$B,2,0),AC332,1),"")</f>
        <v>T</v>
      </c>
      <c r="AC332" s="9">
        <v>157</v>
      </c>
      <c r="AD332" s="3" t="str">
        <f>IFERROR(MID(VLOOKUP($B332,Seqs!$A:$B,2,0),AE332,1),"")</f>
        <v>M</v>
      </c>
      <c r="AE332" s="3">
        <v>183</v>
      </c>
      <c r="AF332" s="3" t="str">
        <f>IFERROR(MID(VLOOKUP($B332,Seqs!$A:$B,2,0),AG332,1),"")</f>
        <v>C</v>
      </c>
      <c r="AG332" s="3">
        <v>202</v>
      </c>
      <c r="AH332" s="3" t="str">
        <f>IFERROR(MID(VLOOKUP($B332,Seqs!$A:$B,2,0),AI332,1),"")</f>
        <v>E</v>
      </c>
      <c r="AI332" s="3">
        <v>204</v>
      </c>
      <c r="AJ332" s="3" t="str">
        <f>IFERROR(MID(VLOOKUP($B332,Seqs!$A:$B,2,0),AK332,1),"")</f>
        <v>L</v>
      </c>
      <c r="AK332" s="3">
        <v>210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K</v>
      </c>
      <c r="AO332" s="3">
        <v>288</v>
      </c>
      <c r="AP332" s="3" t="str">
        <f>IFERROR(MID(VLOOKUP($B332,Seqs!$A:$B,2,0),AQ332,1),"")</f>
        <v>F</v>
      </c>
      <c r="AQ332" s="3">
        <v>324</v>
      </c>
      <c r="AR332" s="3" t="str">
        <f>IFERROR(MID(VLOOKUP($B332,Seqs!$A:$B,2,0),AS332,1),"")</f>
        <v>R</v>
      </c>
      <c r="AS332" s="3">
        <v>333</v>
      </c>
      <c r="AT332" s="3" t="str">
        <f>IFERROR(MID(VLOOKUP($B332,Seqs!$A:$B,2,0),AU332,1),"")</f>
        <v>L</v>
      </c>
      <c r="AU332" s="3">
        <v>361</v>
      </c>
      <c r="AV332" s="3" t="str">
        <f>IFERROR(MID(VLOOKUP($B332,Seqs!$A:$B,2,0),AW332,1),"")</f>
        <v>S</v>
      </c>
      <c r="AW332" s="3">
        <v>362</v>
      </c>
      <c r="AX332" s="3" t="str">
        <f>IFERROR(MID(VLOOKUP($B332,Seqs!$A:$B,2,0),AY332,1),"")</f>
        <v>F</v>
      </c>
      <c r="AY332" s="3">
        <v>373</v>
      </c>
      <c r="AZ332" s="77" t="str">
        <f>VLOOKUP(B332,Classification!A:D,2,0)</f>
        <v>A</v>
      </c>
      <c r="BA332" s="94" t="str">
        <f>VLOOKUP(B332,Classification!A:D,4,0)</f>
        <v>Orexin</v>
      </c>
      <c r="BB332" s="27" t="b">
        <f t="shared" si="2542"/>
        <v>1</v>
      </c>
      <c r="BC332" s="23">
        <f t="shared" si="2515"/>
        <v>250</v>
      </c>
      <c r="BD332" s="2" t="s">
        <v>23</v>
      </c>
      <c r="BE332" s="3" t="s">
        <v>1368</v>
      </c>
      <c r="BF332" s="118">
        <v>2.83</v>
      </c>
      <c r="BG332" s="49" t="s">
        <v>1371</v>
      </c>
      <c r="BH332" s="49" t="s">
        <v>1371</v>
      </c>
      <c r="BI332" s="1"/>
      <c r="BJ332" s="70" t="s">
        <v>1281</v>
      </c>
      <c r="BK332" s="57" t="s">
        <v>1281</v>
      </c>
      <c r="BL332" s="57" t="s">
        <v>1281</v>
      </c>
      <c r="BM332" s="57" t="s">
        <v>1281</v>
      </c>
      <c r="BN332" s="57" t="s">
        <v>1281</v>
      </c>
      <c r="BO332" s="57" t="s">
        <v>1281</v>
      </c>
      <c r="BP332" s="57" t="s">
        <v>1281</v>
      </c>
      <c r="BQ332" s="57" t="s">
        <v>1281</v>
      </c>
      <c r="BR332" s="57" t="s">
        <v>1281</v>
      </c>
      <c r="BS332" s="57" t="s">
        <v>1281</v>
      </c>
      <c r="BT332" s="57" t="s">
        <v>1281</v>
      </c>
      <c r="BU332" s="57" t="s">
        <v>1281</v>
      </c>
      <c r="BV332" s="70">
        <f t="shared" si="2516"/>
        <v>46</v>
      </c>
      <c r="BW332" s="71">
        <f t="shared" si="2517"/>
        <v>75</v>
      </c>
      <c r="BX332" s="72">
        <f t="shared" si="2518"/>
        <v>79</v>
      </c>
      <c r="BY332" s="71">
        <f t="shared" si="2519"/>
        <v>111</v>
      </c>
      <c r="BZ332" s="72">
        <f t="shared" si="2520"/>
        <v>115</v>
      </c>
      <c r="CA332" s="71">
        <f t="shared" si="2521"/>
        <v>151</v>
      </c>
      <c r="CB332" s="72">
        <f t="shared" si="2522"/>
        <v>157</v>
      </c>
      <c r="CC332" s="71">
        <f t="shared" si="2523"/>
        <v>202</v>
      </c>
      <c r="CD332" s="72">
        <f t="shared" si="2524"/>
        <v>210</v>
      </c>
      <c r="CE332" s="71">
        <f t="shared" si="2525"/>
        <v>288</v>
      </c>
      <c r="CF332" s="72">
        <f t="shared" si="2526"/>
        <v>333</v>
      </c>
      <c r="CG332" s="71">
        <f t="shared" si="2527"/>
        <v>362</v>
      </c>
      <c r="CH332" s="70">
        <f t="shared" si="2528"/>
        <v>74</v>
      </c>
      <c r="CI332" s="71">
        <f t="shared" si="2529"/>
        <v>78</v>
      </c>
      <c r="CJ332" s="72">
        <f t="shared" si="2530"/>
        <v>110</v>
      </c>
      <c r="CK332" s="72">
        <f t="shared" si="2531"/>
        <v>114</v>
      </c>
      <c r="CL332" s="72">
        <f t="shared" si="2532"/>
        <v>150</v>
      </c>
      <c r="CM332" s="72">
        <f t="shared" si="2533"/>
        <v>154</v>
      </c>
      <c r="CN332" s="72">
        <f t="shared" si="2534"/>
        <v>183</v>
      </c>
      <c r="CO332" s="72">
        <f t="shared" si="2535"/>
        <v>204</v>
      </c>
      <c r="CP332" s="72">
        <f t="shared" si="2536"/>
        <v>242</v>
      </c>
      <c r="CQ332" s="72">
        <f t="shared" si="2537"/>
        <v>324</v>
      </c>
      <c r="CR332" s="72">
        <f t="shared" si="2538"/>
        <v>361</v>
      </c>
      <c r="CS332" s="72">
        <f t="shared" si="2539"/>
        <v>373</v>
      </c>
      <c r="CT332" s="23">
        <f t="shared" si="2540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2"/>
    </row>
    <row r="333" spans="1:1030" s="12" customFormat="1" x14ac:dyDescent="0.2">
      <c r="A333" s="9" t="str">
        <f t="shared" ref="A333" si="2739">CONCATENATE(B333,"_",C333)</f>
        <v>ox1r_human_6TO7</v>
      </c>
      <c r="B333" s="9" t="s">
        <v>1168</v>
      </c>
      <c r="C333" s="9" t="s">
        <v>1619</v>
      </c>
      <c r="D333" s="9" t="str">
        <f>IFERROR(MID(VLOOKUP($B333,Seqs!$A:$B,2,0),E333,1),"")</f>
        <v>Y</v>
      </c>
      <c r="E333" s="9">
        <v>45</v>
      </c>
      <c r="F333" s="9" t="str">
        <f>IFERROR(MID(VLOOKUP($B333,Seqs!$A:$B,2,0),G333,1),"")</f>
        <v>N</v>
      </c>
      <c r="G333" s="9">
        <v>74</v>
      </c>
      <c r="H333" s="9" t="str">
        <f>IFERROR(MID(VLOOKUP($B333,Seqs!$A:$B,2,0),I333,1),"")</f>
        <v>H</v>
      </c>
      <c r="I333" s="109">
        <v>75</v>
      </c>
      <c r="J333" s="9" t="str">
        <f>IFERROR(MID(VLOOKUP($B333,Seqs!$A:$B,2,0),K333,1),"")</f>
        <v>R</v>
      </c>
      <c r="K333" s="109">
        <v>78</v>
      </c>
      <c r="L333" s="9" t="str">
        <f>IFERROR(MID(VLOOKUP($B333,Seqs!$A:$B,2,0),M333,1),"")</f>
        <v>T</v>
      </c>
      <c r="M333" s="9">
        <v>79</v>
      </c>
      <c r="N333" s="9" t="str">
        <f>IFERROR(MID(VLOOKUP($B333,Seqs!$A:$B,2,0),O333,1),"")</f>
        <v>E</v>
      </c>
      <c r="O333" s="9">
        <v>110</v>
      </c>
      <c r="P333" s="9" t="str">
        <f>IFERROR(MID(VLOOKUP($B333,Seqs!$A:$B,2,0),Q333,1),"")</f>
        <v>S</v>
      </c>
      <c r="Q333" s="9">
        <v>111</v>
      </c>
      <c r="R333" s="9" t="str">
        <f>IFERROR(MID(VLOOKUP($B333,Seqs!$A:$B,2,0),S333,1),"")</f>
        <v>F</v>
      </c>
      <c r="S333" s="9">
        <v>114</v>
      </c>
      <c r="T333" s="9" t="str">
        <f>IFERROR(MID(VLOOKUP($B333,Seqs!$A:$B,2,0),U333,1),"")</f>
        <v>G</v>
      </c>
      <c r="U333" s="9">
        <v>115</v>
      </c>
      <c r="V333" s="9" t="str">
        <f>IFERROR(MID(VLOOKUP($B333,Seqs!$A:$B,2,0),W333,1),"")</f>
        <v>H</v>
      </c>
      <c r="W333" s="9">
        <v>150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T</v>
      </c>
      <c r="AC333" s="9">
        <v>157</v>
      </c>
      <c r="AD333" s="9" t="str">
        <f>IFERROR(MID(VLOOKUP($B333,Seqs!$A:$B,2,0),AE333,1),"")</f>
        <v>M</v>
      </c>
      <c r="AE333" s="9">
        <v>183</v>
      </c>
      <c r="AF333" s="9" t="str">
        <f>IFERROR(MID(VLOOKUP($B333,Seqs!$A:$B,2,0),AG333,1),"")</f>
        <v>C</v>
      </c>
      <c r="AG333" s="9">
        <v>202</v>
      </c>
      <c r="AH333" s="9" t="str">
        <f>IFERROR(MID(VLOOKUP($B333,Seqs!$A:$B,2,0),AI333,1),"")</f>
        <v>E</v>
      </c>
      <c r="AI333" s="9">
        <v>204</v>
      </c>
      <c r="AJ333" s="9" t="str">
        <f>IFERROR(MID(VLOOKUP($B333,Seqs!$A:$B,2,0),AK333,1),"")</f>
        <v>L</v>
      </c>
      <c r="AK333" s="9">
        <v>210</v>
      </c>
      <c r="AL333" s="9" t="str">
        <f>IFERROR(MID(VLOOKUP($B333,Seqs!$A:$B,2,0),AM333,1),"")</f>
        <v>G</v>
      </c>
      <c r="AM333" s="9">
        <v>244</v>
      </c>
      <c r="AN333" s="9" t="str">
        <f>IFERROR(MID(VLOOKUP($B333,Seqs!$A:$B,2,0),AO333,1),"")</f>
        <v>E</v>
      </c>
      <c r="AO333" s="9">
        <v>286</v>
      </c>
      <c r="AP333" s="9" t="str">
        <f>IFERROR(MID(VLOOKUP($B333,Seqs!$A:$B,2,0),AQ333,1),"")</f>
        <v>F</v>
      </c>
      <c r="AQ333" s="9">
        <v>324</v>
      </c>
      <c r="AR333" s="9" t="str">
        <f>IFERROR(MID(VLOOKUP($B333,Seqs!$A:$B,2,0),AS333,1),"")</f>
        <v>D</v>
      </c>
      <c r="AS333" s="9">
        <v>332</v>
      </c>
      <c r="AT333" s="9" t="str">
        <f>IFERROR(MID(VLOOKUP($B333,Seqs!$A:$B,2,0),AU333,1),"")</f>
        <v>L</v>
      </c>
      <c r="AU333" s="9">
        <v>361</v>
      </c>
      <c r="AV333" s="9" t="str">
        <f>IFERROR(MID(VLOOKUP($B333,Seqs!$A:$B,2,0),AW333,1),"")</f>
        <v>S</v>
      </c>
      <c r="AW333" s="9">
        <v>362</v>
      </c>
      <c r="AX333" s="9" t="str">
        <f>IFERROR(MID(VLOOKUP($B333,Seqs!$A:$B,2,0),AY333,1),"")</f>
        <v>L</v>
      </c>
      <c r="AY333" s="9">
        <v>377</v>
      </c>
      <c r="AZ333" s="110" t="str">
        <f>VLOOKUP(B333,Classification!A:D,2,0)</f>
        <v>A</v>
      </c>
      <c r="BA333" s="98" t="str">
        <f>VLOOKUP(B333,Classification!A:D,4,0)</f>
        <v>Orexin</v>
      </c>
      <c r="BB333" s="36" t="b">
        <f t="shared" ref="BB333" si="2740"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 t="shared" ref="BC333" si="2741">_xlfn.AGGREGATE(9,6,CH333:CS333)-_xlfn.AGGREGATE(9,6,BV333:CG333)+12</f>
        <v>257</v>
      </c>
      <c r="BD333" s="40" t="s">
        <v>1370</v>
      </c>
      <c r="BE333" s="9" t="s">
        <v>1368</v>
      </c>
      <c r="BF333" s="119">
        <v>2.2599999999999998</v>
      </c>
      <c r="BG333" s="51" t="s">
        <v>1</v>
      </c>
      <c r="BH333" s="51" t="s">
        <v>1</v>
      </c>
      <c r="BJ333" s="111" t="s">
        <v>1281</v>
      </c>
      <c r="BK333" s="112" t="s">
        <v>1281</v>
      </c>
      <c r="BL333" s="112" t="s">
        <v>1281</v>
      </c>
      <c r="BM333" s="112" t="s">
        <v>1281</v>
      </c>
      <c r="BN333" s="112" t="s">
        <v>1281</v>
      </c>
      <c r="BO333" s="112" t="s">
        <v>1281</v>
      </c>
      <c r="BP333" s="112" t="s">
        <v>1281</v>
      </c>
      <c r="BQ333" s="112" t="s">
        <v>1281</v>
      </c>
      <c r="BR333" s="112" t="s">
        <v>1281</v>
      </c>
      <c r="BS333" s="112" t="s">
        <v>1281</v>
      </c>
      <c r="BT333" s="112" t="s">
        <v>1281</v>
      </c>
      <c r="BU333" s="112" t="s">
        <v>1281</v>
      </c>
      <c r="BV333" s="111">
        <f t="shared" ref="BV333" si="2742">E333</f>
        <v>45</v>
      </c>
      <c r="BW333" s="113">
        <f t="shared" ref="BW333" si="2743">I333</f>
        <v>75</v>
      </c>
      <c r="BX333" s="114">
        <f t="shared" ref="BX333" si="2744">M333</f>
        <v>79</v>
      </c>
      <c r="BY333" s="113">
        <f t="shared" ref="BY333" si="2745">Q333</f>
        <v>111</v>
      </c>
      <c r="BZ333" s="114">
        <f t="shared" ref="BZ333" si="2746">U333</f>
        <v>115</v>
      </c>
      <c r="CA333" s="113" t="str">
        <f t="shared" ref="CA333" si="2747">Y333</f>
        <v>-</v>
      </c>
      <c r="CB333" s="114">
        <f t="shared" ref="CB333" si="2748">AC333</f>
        <v>157</v>
      </c>
      <c r="CC333" s="113">
        <f t="shared" ref="CC333" si="2749">AG333</f>
        <v>202</v>
      </c>
      <c r="CD333" s="114">
        <f t="shared" ref="CD333" si="2750">AK333</f>
        <v>210</v>
      </c>
      <c r="CE333" s="113">
        <f t="shared" ref="CE333" si="2751">AO333</f>
        <v>286</v>
      </c>
      <c r="CF333" s="114">
        <f t="shared" ref="CF333" si="2752">AS333</f>
        <v>332</v>
      </c>
      <c r="CG333" s="113">
        <f t="shared" ref="CG333" si="2753">AW333</f>
        <v>362</v>
      </c>
      <c r="CH333" s="111">
        <f t="shared" ref="CH333" si="2754">G333</f>
        <v>74</v>
      </c>
      <c r="CI333" s="113">
        <f t="shared" ref="CI333" si="2755">K333</f>
        <v>78</v>
      </c>
      <c r="CJ333" s="114">
        <f t="shared" ref="CJ333" si="2756">O333</f>
        <v>110</v>
      </c>
      <c r="CK333" s="114">
        <f t="shared" ref="CK333" si="2757">S333</f>
        <v>114</v>
      </c>
      <c r="CL333" s="114">
        <f t="shared" ref="CL333" si="2758">W333</f>
        <v>150</v>
      </c>
      <c r="CM333" s="114" t="str">
        <f t="shared" ref="CM333" si="2759">AA333</f>
        <v>-</v>
      </c>
      <c r="CN333" s="114">
        <f t="shared" ref="CN333" si="2760">AE333</f>
        <v>183</v>
      </c>
      <c r="CO333" s="114">
        <f t="shared" ref="CO333" si="2761">AI333</f>
        <v>204</v>
      </c>
      <c r="CP333" s="114">
        <f t="shared" ref="CP333" si="2762">AM333</f>
        <v>244</v>
      </c>
      <c r="CQ333" s="114">
        <f t="shared" ref="CQ333" si="2763">AQ333</f>
        <v>324</v>
      </c>
      <c r="CR333" s="114">
        <f t="shared" ref="CR333" si="2764">AU333</f>
        <v>361</v>
      </c>
      <c r="CS333" s="114">
        <f t="shared" ref="CS333" si="2765">AY333</f>
        <v>377</v>
      </c>
      <c r="CT333" s="109">
        <f t="shared" ref="CT333" si="2766">M333-K333</f>
        <v>1</v>
      </c>
      <c r="AMP333" s="40"/>
    </row>
    <row r="334" spans="1:1030" s="12" customFormat="1" x14ac:dyDescent="0.2">
      <c r="A334" s="9" t="str">
        <f t="shared" ref="A334" si="2767">CONCATENATE(B334,"_",C334)</f>
        <v>ox1r_human_6TOD</v>
      </c>
      <c r="B334" s="9" t="s">
        <v>1168</v>
      </c>
      <c r="C334" s="9" t="s">
        <v>1620</v>
      </c>
      <c r="D334" s="9" t="str">
        <f>IFERROR(MID(VLOOKUP($B334,Seqs!$A:$B,2,0),E334,1),"")</f>
        <v>Y</v>
      </c>
      <c r="E334" s="9">
        <v>45</v>
      </c>
      <c r="F334" s="9" t="str">
        <f>IFERROR(MID(VLOOKUP($B334,Seqs!$A:$B,2,0),G334,1),"")</f>
        <v>N</v>
      </c>
      <c r="G334" s="9">
        <v>74</v>
      </c>
      <c r="H334" s="9" t="str">
        <f>IFERROR(MID(VLOOKUP($B334,Seqs!$A:$B,2,0),I334,1),"")</f>
        <v>H</v>
      </c>
      <c r="I334" s="109">
        <v>75</v>
      </c>
      <c r="J334" s="9" t="str">
        <f>IFERROR(MID(VLOOKUP($B334,Seqs!$A:$B,2,0),K334,1),"")</f>
        <v>R</v>
      </c>
      <c r="K334" s="109">
        <v>78</v>
      </c>
      <c r="L334" s="9" t="str">
        <f>IFERROR(MID(VLOOKUP($B334,Seqs!$A:$B,2,0),M334,1),"")</f>
        <v>T</v>
      </c>
      <c r="M334" s="9">
        <v>79</v>
      </c>
      <c r="N334" s="9" t="str">
        <f>IFERROR(MID(VLOOKUP($B334,Seqs!$A:$B,2,0),O334,1),"")</f>
        <v>E</v>
      </c>
      <c r="O334" s="9">
        <v>110</v>
      </c>
      <c r="P334" s="9" t="str">
        <f>IFERROR(MID(VLOOKUP($B334,Seqs!$A:$B,2,0),Q334,1),"")</f>
        <v>S</v>
      </c>
      <c r="Q334" s="9">
        <v>111</v>
      </c>
      <c r="R334" s="9" t="str">
        <f>IFERROR(MID(VLOOKUP($B334,Seqs!$A:$B,2,0),S334,1),"")</f>
        <v>F</v>
      </c>
      <c r="S334" s="9">
        <v>114</v>
      </c>
      <c r="T334" s="9" t="str">
        <f>IFERROR(MID(VLOOKUP($B334,Seqs!$A:$B,2,0),U334,1),"")</f>
        <v>G</v>
      </c>
      <c r="U334" s="9">
        <v>115</v>
      </c>
      <c r="V334" s="9" t="str">
        <f>IFERROR(MID(VLOOKUP($B334,Seqs!$A:$B,2,0),W334,1),"")</f>
        <v>H</v>
      </c>
      <c r="W334" s="9">
        <v>150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T</v>
      </c>
      <c r="AC334" s="9">
        <v>157</v>
      </c>
      <c r="AD334" s="9" t="str">
        <f>IFERROR(MID(VLOOKUP($B334,Seqs!$A:$B,2,0),AE334,1),"")</f>
        <v>M</v>
      </c>
      <c r="AE334" s="9">
        <v>183</v>
      </c>
      <c r="AF334" s="9" t="str">
        <f>IFERROR(MID(VLOOKUP($B334,Seqs!$A:$B,2,0),AG334,1),"")</f>
        <v>C</v>
      </c>
      <c r="AG334" s="9">
        <v>202</v>
      </c>
      <c r="AH334" s="9" t="str">
        <f>IFERROR(MID(VLOOKUP($B334,Seqs!$A:$B,2,0),AI334,1),"")</f>
        <v>E</v>
      </c>
      <c r="AI334" s="9">
        <v>204</v>
      </c>
      <c r="AJ334" s="9" t="str">
        <f>IFERROR(MID(VLOOKUP($B334,Seqs!$A:$B,2,0),AK334,1),"")</f>
        <v>L</v>
      </c>
      <c r="AK334" s="9">
        <v>210</v>
      </c>
      <c r="AL334" s="9" t="str">
        <f>IFERROR(MID(VLOOKUP($B334,Seqs!$A:$B,2,0),AM334,1),"")</f>
        <v>G</v>
      </c>
      <c r="AM334" s="9">
        <v>244</v>
      </c>
      <c r="AN334" s="9" t="str">
        <f>IFERROR(MID(VLOOKUP($B334,Seqs!$A:$B,2,0),AO334,1),"")</f>
        <v>E</v>
      </c>
      <c r="AO334" s="9">
        <v>286</v>
      </c>
      <c r="AP334" s="9" t="str">
        <f>IFERROR(MID(VLOOKUP($B334,Seqs!$A:$B,2,0),AQ334,1),"")</f>
        <v>F</v>
      </c>
      <c r="AQ334" s="9">
        <v>324</v>
      </c>
      <c r="AR334" s="9" t="str">
        <f>IFERROR(MID(VLOOKUP($B334,Seqs!$A:$B,2,0),AS334,1),"")</f>
        <v>D</v>
      </c>
      <c r="AS334" s="9">
        <v>332</v>
      </c>
      <c r="AT334" s="9" t="str">
        <f>IFERROR(MID(VLOOKUP($B334,Seqs!$A:$B,2,0),AU334,1),"")</f>
        <v>L</v>
      </c>
      <c r="AU334" s="9">
        <v>361</v>
      </c>
      <c r="AV334" s="9" t="str">
        <f>IFERROR(MID(VLOOKUP($B334,Seqs!$A:$B,2,0),AW334,1),"")</f>
        <v>S</v>
      </c>
      <c r="AW334" s="9">
        <v>362</v>
      </c>
      <c r="AX334" s="9" t="str">
        <f>IFERROR(MID(VLOOKUP($B334,Seqs!$A:$B,2,0),AY334,1),"")</f>
        <v>C</v>
      </c>
      <c r="AY334" s="9">
        <v>375</v>
      </c>
      <c r="AZ334" s="110" t="str">
        <f>VLOOKUP(B334,Classification!A:D,2,0)</f>
        <v>A</v>
      </c>
      <c r="BA334" s="98" t="str">
        <f>VLOOKUP(B334,Classification!A:D,4,0)</f>
        <v>Orexin</v>
      </c>
      <c r="BB334" s="36" t="b">
        <f t="shared" ref="BB334" si="2768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" si="2769">_xlfn.AGGREGATE(9,6,CH334:CS334)-_xlfn.AGGREGATE(9,6,BV334:CG334)+12</f>
        <v>255</v>
      </c>
      <c r="BD334" s="40" t="s">
        <v>23</v>
      </c>
      <c r="BE334" s="9" t="s">
        <v>1368</v>
      </c>
      <c r="BF334" s="119">
        <v>2.11</v>
      </c>
      <c r="BG334" s="51" t="s">
        <v>1</v>
      </c>
      <c r="BH334" s="51" t="s">
        <v>1</v>
      </c>
      <c r="BJ334" s="111" t="s">
        <v>1281</v>
      </c>
      <c r="BK334" s="112" t="s">
        <v>1281</v>
      </c>
      <c r="BL334" s="112" t="s">
        <v>1281</v>
      </c>
      <c r="BM334" s="112" t="s">
        <v>1281</v>
      </c>
      <c r="BN334" s="112" t="s">
        <v>1281</v>
      </c>
      <c r="BO334" s="112" t="s">
        <v>1281</v>
      </c>
      <c r="BP334" s="112" t="s">
        <v>1281</v>
      </c>
      <c r="BQ334" s="112" t="s">
        <v>1281</v>
      </c>
      <c r="BR334" s="112" t="s">
        <v>1281</v>
      </c>
      <c r="BS334" s="112" t="s">
        <v>1281</v>
      </c>
      <c r="BT334" s="112" t="s">
        <v>1281</v>
      </c>
      <c r="BU334" s="112" t="s">
        <v>1281</v>
      </c>
      <c r="BV334" s="111">
        <f t="shared" ref="BV334" si="2770">E334</f>
        <v>45</v>
      </c>
      <c r="BW334" s="113">
        <f t="shared" ref="BW334" si="2771">I334</f>
        <v>75</v>
      </c>
      <c r="BX334" s="114">
        <f t="shared" ref="BX334" si="2772">M334</f>
        <v>79</v>
      </c>
      <c r="BY334" s="113">
        <f t="shared" ref="BY334" si="2773">Q334</f>
        <v>111</v>
      </c>
      <c r="BZ334" s="114">
        <f t="shared" ref="BZ334" si="2774">U334</f>
        <v>115</v>
      </c>
      <c r="CA334" s="113" t="str">
        <f t="shared" ref="CA334" si="2775">Y334</f>
        <v>-</v>
      </c>
      <c r="CB334" s="114">
        <f t="shared" ref="CB334" si="2776">AC334</f>
        <v>157</v>
      </c>
      <c r="CC334" s="113">
        <f t="shared" ref="CC334" si="2777">AG334</f>
        <v>202</v>
      </c>
      <c r="CD334" s="114">
        <f t="shared" ref="CD334" si="2778">AK334</f>
        <v>210</v>
      </c>
      <c r="CE334" s="113">
        <f t="shared" ref="CE334" si="2779">AO334</f>
        <v>286</v>
      </c>
      <c r="CF334" s="114">
        <f t="shared" ref="CF334" si="2780">AS334</f>
        <v>332</v>
      </c>
      <c r="CG334" s="113">
        <f t="shared" ref="CG334" si="2781">AW334</f>
        <v>362</v>
      </c>
      <c r="CH334" s="111">
        <f t="shared" ref="CH334" si="2782">G334</f>
        <v>74</v>
      </c>
      <c r="CI334" s="113">
        <f t="shared" ref="CI334" si="2783">K334</f>
        <v>78</v>
      </c>
      <c r="CJ334" s="114">
        <f t="shared" ref="CJ334" si="2784">O334</f>
        <v>110</v>
      </c>
      <c r="CK334" s="114">
        <f t="shared" ref="CK334" si="2785">S334</f>
        <v>114</v>
      </c>
      <c r="CL334" s="114">
        <f t="shared" ref="CL334" si="2786">W334</f>
        <v>150</v>
      </c>
      <c r="CM334" s="114" t="str">
        <f t="shared" ref="CM334" si="2787">AA334</f>
        <v>-</v>
      </c>
      <c r="CN334" s="114">
        <f t="shared" ref="CN334" si="2788">AE334</f>
        <v>183</v>
      </c>
      <c r="CO334" s="114">
        <f t="shared" ref="CO334" si="2789">AI334</f>
        <v>204</v>
      </c>
      <c r="CP334" s="114">
        <f t="shared" ref="CP334" si="2790">AM334</f>
        <v>244</v>
      </c>
      <c r="CQ334" s="114">
        <f t="shared" ref="CQ334" si="2791">AQ334</f>
        <v>324</v>
      </c>
      <c r="CR334" s="114">
        <f t="shared" ref="CR334" si="2792">AU334</f>
        <v>361</v>
      </c>
      <c r="CS334" s="114">
        <f t="shared" ref="CS334" si="2793">AY334</f>
        <v>375</v>
      </c>
      <c r="CT334" s="109">
        <f t="shared" ref="CT334" si="2794">M334-K334</f>
        <v>1</v>
      </c>
      <c r="AMP334" s="40"/>
    </row>
    <row r="335" spans="1:1030" s="12" customFormat="1" x14ac:dyDescent="0.2">
      <c r="A335" s="9" t="str">
        <f t="shared" ref="A335" si="2795">CONCATENATE(B335,"_",C335)</f>
        <v>ox1r_human_6TP3</v>
      </c>
      <c r="B335" s="9" t="s">
        <v>1168</v>
      </c>
      <c r="C335" s="9" t="s">
        <v>1621</v>
      </c>
      <c r="D335" s="9" t="str">
        <f>IFERROR(MID(VLOOKUP($B335,Seqs!$A:$B,2,0),E335,1),"")</f>
        <v>Y</v>
      </c>
      <c r="E335" s="9">
        <v>45</v>
      </c>
      <c r="F335" s="9" t="str">
        <f>IFERROR(MID(VLOOKUP($B335,Seqs!$A:$B,2,0),G335,1),"")</f>
        <v>N</v>
      </c>
      <c r="G335" s="9">
        <v>74</v>
      </c>
      <c r="H335" s="9" t="str">
        <f>IFERROR(MID(VLOOKUP($B335,Seqs!$A:$B,2,0),I335,1),"")</f>
        <v>H</v>
      </c>
      <c r="I335" s="109">
        <v>75</v>
      </c>
      <c r="J335" s="9" t="str">
        <f>IFERROR(MID(VLOOKUP($B335,Seqs!$A:$B,2,0),K335,1),"")</f>
        <v>R</v>
      </c>
      <c r="K335" s="109">
        <v>78</v>
      </c>
      <c r="L335" s="9" t="str">
        <f>IFERROR(MID(VLOOKUP($B335,Seqs!$A:$B,2,0),M335,1),"")</f>
        <v>T</v>
      </c>
      <c r="M335" s="9">
        <v>79</v>
      </c>
      <c r="N335" s="9" t="str">
        <f>IFERROR(MID(VLOOKUP($B335,Seqs!$A:$B,2,0),O335,1),"")</f>
        <v>E</v>
      </c>
      <c r="O335" s="9">
        <v>110</v>
      </c>
      <c r="P335" s="9" t="str">
        <f>IFERROR(MID(VLOOKUP($B335,Seqs!$A:$B,2,0),Q335,1),"")</f>
        <v>S</v>
      </c>
      <c r="Q335" s="9">
        <v>111</v>
      </c>
      <c r="R335" s="9" t="str">
        <f>IFERROR(MID(VLOOKUP($B335,Seqs!$A:$B,2,0),S335,1),"")</f>
        <v>F</v>
      </c>
      <c r="S335" s="9">
        <v>114</v>
      </c>
      <c r="T335" s="9" t="str">
        <f>IFERROR(MID(VLOOKUP($B335,Seqs!$A:$B,2,0),U335,1),"")</f>
        <v>G</v>
      </c>
      <c r="U335" s="9">
        <v>115</v>
      </c>
      <c r="V335" s="9" t="str">
        <f>IFERROR(MID(VLOOKUP($B335,Seqs!$A:$B,2,0),W335,1),"")</f>
        <v>H</v>
      </c>
      <c r="W335" s="9">
        <v>150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T</v>
      </c>
      <c r="AC335" s="9">
        <v>157</v>
      </c>
      <c r="AD335" s="9" t="str">
        <f>IFERROR(MID(VLOOKUP($B335,Seqs!$A:$B,2,0),AE335,1),"")</f>
        <v>M</v>
      </c>
      <c r="AE335" s="9">
        <v>183</v>
      </c>
      <c r="AF335" s="9" t="str">
        <f>IFERROR(MID(VLOOKUP($B335,Seqs!$A:$B,2,0),AG335,1),"")</f>
        <v>C</v>
      </c>
      <c r="AG335" s="9">
        <v>202</v>
      </c>
      <c r="AH335" s="9" t="str">
        <f>IFERROR(MID(VLOOKUP($B335,Seqs!$A:$B,2,0),AI335,1),"")</f>
        <v>E</v>
      </c>
      <c r="AI335" s="9">
        <v>204</v>
      </c>
      <c r="AJ335" s="9" t="str">
        <f>IFERROR(MID(VLOOKUP($B335,Seqs!$A:$B,2,0),AK335,1),"")</f>
        <v>L</v>
      </c>
      <c r="AK335" s="9">
        <v>210</v>
      </c>
      <c r="AL335" s="9" t="str">
        <f>IFERROR(MID(VLOOKUP($B335,Seqs!$A:$B,2,0),AM335,1),"")</f>
        <v>W</v>
      </c>
      <c r="AM335" s="9">
        <v>243</v>
      </c>
      <c r="AN335" s="9" t="str">
        <f>IFERROR(MID(VLOOKUP($B335,Seqs!$A:$B,2,0),AO335,1),"")</f>
        <v>E</v>
      </c>
      <c r="AO335" s="9">
        <v>286</v>
      </c>
      <c r="AP335" s="9" t="str">
        <f>IFERROR(MID(VLOOKUP($B335,Seqs!$A:$B,2,0),AQ335,1),"")</f>
        <v>F</v>
      </c>
      <c r="AQ335" s="9">
        <v>324</v>
      </c>
      <c r="AR335" s="9" t="str">
        <f>IFERROR(MID(VLOOKUP($B335,Seqs!$A:$B,2,0),AS335,1),"")</f>
        <v>D</v>
      </c>
      <c r="AS335" s="9">
        <v>332</v>
      </c>
      <c r="AT335" s="9" t="str">
        <f>IFERROR(MID(VLOOKUP($B335,Seqs!$A:$B,2,0),AU335,1),"")</f>
        <v>L</v>
      </c>
      <c r="AU335" s="9">
        <v>361</v>
      </c>
      <c r="AV335" s="9" t="str">
        <f>IFERROR(MID(VLOOKUP($B335,Seqs!$A:$B,2,0),AW335,1),"")</f>
        <v>S</v>
      </c>
      <c r="AW335" s="9">
        <v>362</v>
      </c>
      <c r="AX335" s="9" t="str">
        <f>IFERROR(MID(VLOOKUP($B335,Seqs!$A:$B,2,0),AY335,1),"")</f>
        <v>L</v>
      </c>
      <c r="AY335" s="9">
        <v>377</v>
      </c>
      <c r="AZ335" s="110" t="str">
        <f>VLOOKUP(B335,Classification!A:D,2,0)</f>
        <v>A</v>
      </c>
      <c r="BA335" s="98" t="str">
        <f>VLOOKUP(B335,Classification!A:D,4,0)</f>
        <v>Orexin</v>
      </c>
      <c r="BB335" s="36" t="b">
        <f t="shared" ref="BB335" si="2796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 t="shared" ref="BC335" si="2797">_xlfn.AGGREGATE(9,6,CH335:CS335)-_xlfn.AGGREGATE(9,6,BV335:CG335)+12</f>
        <v>256</v>
      </c>
      <c r="BD335" s="40" t="s">
        <v>23</v>
      </c>
      <c r="BE335" s="9" t="s">
        <v>1368</v>
      </c>
      <c r="BF335" s="119">
        <v>3.04</v>
      </c>
      <c r="BG335" s="51" t="s">
        <v>1</v>
      </c>
      <c r="BH335" s="51" t="s">
        <v>1</v>
      </c>
      <c r="BJ335" s="111" t="s">
        <v>1281</v>
      </c>
      <c r="BK335" s="112" t="s">
        <v>1281</v>
      </c>
      <c r="BL335" s="112" t="s">
        <v>1281</v>
      </c>
      <c r="BM335" s="112" t="s">
        <v>1281</v>
      </c>
      <c r="BN335" s="112" t="s">
        <v>1281</v>
      </c>
      <c r="BO335" s="112" t="s">
        <v>1281</v>
      </c>
      <c r="BP335" s="112" t="s">
        <v>1281</v>
      </c>
      <c r="BQ335" s="112" t="s">
        <v>1281</v>
      </c>
      <c r="BR335" s="112" t="s">
        <v>1281</v>
      </c>
      <c r="BS335" s="112" t="s">
        <v>1281</v>
      </c>
      <c r="BT335" s="112" t="s">
        <v>1281</v>
      </c>
      <c r="BU335" s="112" t="s">
        <v>1281</v>
      </c>
      <c r="BV335" s="111">
        <f t="shared" ref="BV335" si="2798">E335</f>
        <v>45</v>
      </c>
      <c r="BW335" s="113">
        <f t="shared" ref="BW335" si="2799">I335</f>
        <v>75</v>
      </c>
      <c r="BX335" s="114">
        <f t="shared" ref="BX335" si="2800">M335</f>
        <v>79</v>
      </c>
      <c r="BY335" s="113">
        <f t="shared" ref="BY335" si="2801">Q335</f>
        <v>111</v>
      </c>
      <c r="BZ335" s="114">
        <f t="shared" ref="BZ335" si="2802">U335</f>
        <v>115</v>
      </c>
      <c r="CA335" s="113" t="str">
        <f t="shared" ref="CA335" si="2803">Y335</f>
        <v>-</v>
      </c>
      <c r="CB335" s="114">
        <f t="shared" ref="CB335" si="2804">AC335</f>
        <v>157</v>
      </c>
      <c r="CC335" s="113">
        <f t="shared" ref="CC335" si="2805">AG335</f>
        <v>202</v>
      </c>
      <c r="CD335" s="114">
        <f t="shared" ref="CD335" si="2806">AK335</f>
        <v>210</v>
      </c>
      <c r="CE335" s="113">
        <f t="shared" ref="CE335" si="2807">AO335</f>
        <v>286</v>
      </c>
      <c r="CF335" s="114">
        <f t="shared" ref="CF335" si="2808">AS335</f>
        <v>332</v>
      </c>
      <c r="CG335" s="113">
        <f t="shared" ref="CG335" si="2809">AW335</f>
        <v>362</v>
      </c>
      <c r="CH335" s="111">
        <f t="shared" ref="CH335" si="2810">G335</f>
        <v>74</v>
      </c>
      <c r="CI335" s="113">
        <f t="shared" ref="CI335" si="2811">K335</f>
        <v>78</v>
      </c>
      <c r="CJ335" s="114">
        <f t="shared" ref="CJ335" si="2812">O335</f>
        <v>110</v>
      </c>
      <c r="CK335" s="114">
        <f t="shared" ref="CK335" si="2813">S335</f>
        <v>114</v>
      </c>
      <c r="CL335" s="114">
        <f t="shared" ref="CL335" si="2814">W335</f>
        <v>150</v>
      </c>
      <c r="CM335" s="114" t="str">
        <f t="shared" ref="CM335" si="2815">AA335</f>
        <v>-</v>
      </c>
      <c r="CN335" s="114">
        <f t="shared" ref="CN335" si="2816">AE335</f>
        <v>183</v>
      </c>
      <c r="CO335" s="114">
        <f t="shared" ref="CO335" si="2817">AI335</f>
        <v>204</v>
      </c>
      <c r="CP335" s="114">
        <f t="shared" ref="CP335" si="2818">AM335</f>
        <v>243</v>
      </c>
      <c r="CQ335" s="114">
        <f t="shared" ref="CQ335" si="2819">AQ335</f>
        <v>324</v>
      </c>
      <c r="CR335" s="114">
        <f t="shared" ref="CR335" si="2820">AU335</f>
        <v>361</v>
      </c>
      <c r="CS335" s="114">
        <f t="shared" ref="CS335" si="2821">AY335</f>
        <v>377</v>
      </c>
      <c r="CT335" s="109">
        <f t="shared" ref="CT335" si="2822">M335-K335</f>
        <v>1</v>
      </c>
      <c r="AMP335" s="40"/>
    </row>
    <row r="336" spans="1:1030" s="12" customFormat="1" x14ac:dyDescent="0.2">
      <c r="A336" s="9" t="str">
        <f t="shared" ref="A336" si="2823">CONCATENATE(B336,"_",C336)</f>
        <v>ox1r_human_6TP4</v>
      </c>
      <c r="B336" s="9" t="s">
        <v>1168</v>
      </c>
      <c r="C336" s="9" t="s">
        <v>1622</v>
      </c>
      <c r="D336" s="9" t="str">
        <f>IFERROR(MID(VLOOKUP($B336,Seqs!$A:$B,2,0),E336,1),"")</f>
        <v>E</v>
      </c>
      <c r="E336" s="9">
        <v>46</v>
      </c>
      <c r="F336" s="9" t="str">
        <f>IFERROR(MID(VLOOKUP($B336,Seqs!$A:$B,2,0),G336,1),"")</f>
        <v>N</v>
      </c>
      <c r="G336" s="9">
        <v>74</v>
      </c>
      <c r="H336" s="9" t="str">
        <f>IFERROR(MID(VLOOKUP($B336,Seqs!$A:$B,2,0),I336,1),"")</f>
        <v>H</v>
      </c>
      <c r="I336" s="109">
        <v>75</v>
      </c>
      <c r="J336" s="9" t="str">
        <f>IFERROR(MID(VLOOKUP($B336,Seqs!$A:$B,2,0),K336,1),"")</f>
        <v>R</v>
      </c>
      <c r="K336" s="109">
        <v>78</v>
      </c>
      <c r="L336" s="9" t="str">
        <f>IFERROR(MID(VLOOKUP($B336,Seqs!$A:$B,2,0),M336,1),"")</f>
        <v>T</v>
      </c>
      <c r="M336" s="9">
        <v>79</v>
      </c>
      <c r="N336" s="9" t="str">
        <f>IFERROR(MID(VLOOKUP($B336,Seqs!$A:$B,2,0),O336,1),"")</f>
        <v>E</v>
      </c>
      <c r="O336" s="9">
        <v>110</v>
      </c>
      <c r="P336" s="9" t="str">
        <f>IFERROR(MID(VLOOKUP($B336,Seqs!$A:$B,2,0),Q336,1),"")</f>
        <v>S</v>
      </c>
      <c r="Q336" s="9">
        <v>111</v>
      </c>
      <c r="R336" s="9" t="str">
        <f>IFERROR(MID(VLOOKUP($B336,Seqs!$A:$B,2,0),S336,1),"")</f>
        <v>F</v>
      </c>
      <c r="S336" s="9">
        <v>114</v>
      </c>
      <c r="T336" s="9" t="str">
        <f>IFERROR(MID(VLOOKUP($B336,Seqs!$A:$B,2,0),U336,1),"")</f>
        <v>G</v>
      </c>
      <c r="U336" s="9">
        <v>115</v>
      </c>
      <c r="V336" s="9" t="str">
        <f>IFERROR(MID(VLOOKUP($B336,Seqs!$A:$B,2,0),W336,1),"")</f>
        <v>H</v>
      </c>
      <c r="W336" s="9">
        <v>150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T</v>
      </c>
      <c r="AC336" s="9">
        <v>157</v>
      </c>
      <c r="AD336" s="9" t="str">
        <f>IFERROR(MID(VLOOKUP($B336,Seqs!$A:$B,2,0),AE336,1),"")</f>
        <v>M</v>
      </c>
      <c r="AE336" s="9">
        <v>183</v>
      </c>
      <c r="AF336" s="9" t="str">
        <f>IFERROR(MID(VLOOKUP($B336,Seqs!$A:$B,2,0),AG336,1),"")</f>
        <v>C</v>
      </c>
      <c r="AG336" s="9">
        <v>202</v>
      </c>
      <c r="AH336" s="9" t="str">
        <f>IFERROR(MID(VLOOKUP($B336,Seqs!$A:$B,2,0),AI336,1),"")</f>
        <v>E</v>
      </c>
      <c r="AI336" s="9">
        <v>204</v>
      </c>
      <c r="AJ336" s="9" t="str">
        <f>IFERROR(MID(VLOOKUP($B336,Seqs!$A:$B,2,0),AK336,1),"")</f>
        <v>L</v>
      </c>
      <c r="AK336" s="9">
        <v>210</v>
      </c>
      <c r="AL336" s="9" t="str">
        <f>IFERROR(MID(VLOOKUP($B336,Seqs!$A:$B,2,0),AM336,1),"")</f>
        <v>W</v>
      </c>
      <c r="AM336" s="9">
        <v>243</v>
      </c>
      <c r="AN336" s="9" t="str">
        <f>IFERROR(MID(VLOOKUP($B336,Seqs!$A:$B,2,0),AO336,1),"")</f>
        <v>E</v>
      </c>
      <c r="AO336" s="9">
        <v>286</v>
      </c>
      <c r="AP336" s="9" t="str">
        <f>IFERROR(MID(VLOOKUP($B336,Seqs!$A:$B,2,0),AQ336,1),"")</f>
        <v>F</v>
      </c>
      <c r="AQ336" s="9">
        <v>324</v>
      </c>
      <c r="AR336" s="9" t="str">
        <f>IFERROR(MID(VLOOKUP($B336,Seqs!$A:$B,2,0),AS336,1),"")</f>
        <v>D</v>
      </c>
      <c r="AS336" s="9">
        <v>332</v>
      </c>
      <c r="AT336" s="9" t="str">
        <f>IFERROR(MID(VLOOKUP($B336,Seqs!$A:$B,2,0),AU336,1),"")</f>
        <v>L</v>
      </c>
      <c r="AU336" s="9">
        <v>361</v>
      </c>
      <c r="AV336" s="9" t="str">
        <f>IFERROR(MID(VLOOKUP($B336,Seqs!$A:$B,2,0),AW336,1),"")</f>
        <v>S</v>
      </c>
      <c r="AW336" s="9">
        <v>362</v>
      </c>
      <c r="AX336" s="9" t="str">
        <f>IFERROR(MID(VLOOKUP($B336,Seqs!$A:$B,2,0),AY336,1),"")</f>
        <v>L</v>
      </c>
      <c r="AY336" s="9">
        <v>377</v>
      </c>
      <c r="AZ336" s="110" t="str">
        <f>VLOOKUP(B336,Classification!A:D,2,0)</f>
        <v>A</v>
      </c>
      <c r="BA336" s="98" t="str">
        <f>VLOOKUP(B336,Classification!A:D,4,0)</f>
        <v>Orexin</v>
      </c>
      <c r="BB336" s="36" t="b">
        <f t="shared" ref="BB336" si="2824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" si="2825">_xlfn.AGGREGATE(9,6,CH336:CS336)-_xlfn.AGGREGATE(9,6,BV336:CG336)+12</f>
        <v>255</v>
      </c>
      <c r="BD336" s="40" t="s">
        <v>23</v>
      </c>
      <c r="BE336" s="9" t="s">
        <v>1368</v>
      </c>
      <c r="BF336" s="119">
        <v>3.01</v>
      </c>
      <c r="BG336" s="51" t="s">
        <v>1275</v>
      </c>
      <c r="BH336" s="51" t="s">
        <v>1275</v>
      </c>
      <c r="BJ336" s="111" t="s">
        <v>1281</v>
      </c>
      <c r="BK336" s="112" t="s">
        <v>1281</v>
      </c>
      <c r="BL336" s="112" t="s">
        <v>1281</v>
      </c>
      <c r="BM336" s="112" t="s">
        <v>1281</v>
      </c>
      <c r="BN336" s="112" t="s">
        <v>1281</v>
      </c>
      <c r="BO336" s="112" t="s">
        <v>1281</v>
      </c>
      <c r="BP336" s="112" t="s">
        <v>1281</v>
      </c>
      <c r="BQ336" s="112" t="s">
        <v>1281</v>
      </c>
      <c r="BR336" s="112" t="s">
        <v>1281</v>
      </c>
      <c r="BS336" s="112" t="s">
        <v>1281</v>
      </c>
      <c r="BT336" s="112" t="s">
        <v>1281</v>
      </c>
      <c r="BU336" s="112" t="s">
        <v>1281</v>
      </c>
      <c r="BV336" s="111">
        <f t="shared" ref="BV336" si="2826">E336</f>
        <v>46</v>
      </c>
      <c r="BW336" s="113">
        <f t="shared" ref="BW336" si="2827">I336</f>
        <v>75</v>
      </c>
      <c r="BX336" s="114">
        <f t="shared" ref="BX336" si="2828">M336</f>
        <v>79</v>
      </c>
      <c r="BY336" s="113">
        <f t="shared" ref="BY336" si="2829">Q336</f>
        <v>111</v>
      </c>
      <c r="BZ336" s="114">
        <f t="shared" ref="BZ336" si="2830">U336</f>
        <v>115</v>
      </c>
      <c r="CA336" s="113" t="str">
        <f t="shared" ref="CA336" si="2831">Y336</f>
        <v>-</v>
      </c>
      <c r="CB336" s="114">
        <f t="shared" ref="CB336" si="2832">AC336</f>
        <v>157</v>
      </c>
      <c r="CC336" s="113">
        <f t="shared" ref="CC336" si="2833">AG336</f>
        <v>202</v>
      </c>
      <c r="CD336" s="114">
        <f t="shared" ref="CD336" si="2834">AK336</f>
        <v>210</v>
      </c>
      <c r="CE336" s="113">
        <f t="shared" ref="CE336" si="2835">AO336</f>
        <v>286</v>
      </c>
      <c r="CF336" s="114">
        <f t="shared" ref="CF336" si="2836">AS336</f>
        <v>332</v>
      </c>
      <c r="CG336" s="113">
        <f t="shared" ref="CG336" si="2837">AW336</f>
        <v>362</v>
      </c>
      <c r="CH336" s="111">
        <f t="shared" ref="CH336" si="2838">G336</f>
        <v>74</v>
      </c>
      <c r="CI336" s="113">
        <f t="shared" ref="CI336" si="2839">K336</f>
        <v>78</v>
      </c>
      <c r="CJ336" s="114">
        <f t="shared" ref="CJ336" si="2840">O336</f>
        <v>110</v>
      </c>
      <c r="CK336" s="114">
        <f t="shared" ref="CK336" si="2841">S336</f>
        <v>114</v>
      </c>
      <c r="CL336" s="114">
        <f t="shared" ref="CL336" si="2842">W336</f>
        <v>150</v>
      </c>
      <c r="CM336" s="114" t="str">
        <f t="shared" ref="CM336" si="2843">AA336</f>
        <v>-</v>
      </c>
      <c r="CN336" s="114">
        <f t="shared" ref="CN336" si="2844">AE336</f>
        <v>183</v>
      </c>
      <c r="CO336" s="114">
        <f t="shared" ref="CO336" si="2845">AI336</f>
        <v>204</v>
      </c>
      <c r="CP336" s="114">
        <f t="shared" ref="CP336" si="2846">AM336</f>
        <v>243</v>
      </c>
      <c r="CQ336" s="114">
        <f t="shared" ref="CQ336" si="2847">AQ336</f>
        <v>324</v>
      </c>
      <c r="CR336" s="114">
        <f t="shared" ref="CR336" si="2848">AU336</f>
        <v>361</v>
      </c>
      <c r="CS336" s="114">
        <f t="shared" ref="CS336" si="2849">AY336</f>
        <v>377</v>
      </c>
      <c r="CT336" s="109">
        <f t="shared" ref="CT336" si="2850">M336-K336</f>
        <v>1</v>
      </c>
      <c r="AMP336" s="40"/>
    </row>
    <row r="337" spans="1:1030" s="12" customFormat="1" x14ac:dyDescent="0.2">
      <c r="A337" s="9" t="str">
        <f t="shared" ref="A337" si="2851">CONCATENATE(B337,"_",C337)</f>
        <v>ox1r_human_6TP6</v>
      </c>
      <c r="B337" s="9" t="s">
        <v>1168</v>
      </c>
      <c r="C337" s="9" t="s">
        <v>1623</v>
      </c>
      <c r="D337" s="9" t="str">
        <f>IFERROR(MID(VLOOKUP($B337,Seqs!$A:$B,2,0),E337,1),"")</f>
        <v>Y</v>
      </c>
      <c r="E337" s="9">
        <v>45</v>
      </c>
      <c r="F337" s="9" t="str">
        <f>IFERROR(MID(VLOOKUP($B337,Seqs!$A:$B,2,0),G337,1),"")</f>
        <v>N</v>
      </c>
      <c r="G337" s="9">
        <v>74</v>
      </c>
      <c r="H337" s="9" t="str">
        <f>IFERROR(MID(VLOOKUP($B337,Seqs!$A:$B,2,0),I337,1),"")</f>
        <v>H</v>
      </c>
      <c r="I337" s="109">
        <v>75</v>
      </c>
      <c r="J337" s="9" t="str">
        <f>IFERROR(MID(VLOOKUP($B337,Seqs!$A:$B,2,0),K337,1),"")</f>
        <v>R</v>
      </c>
      <c r="K337" s="109">
        <v>78</v>
      </c>
      <c r="L337" s="9" t="str">
        <f>IFERROR(MID(VLOOKUP($B337,Seqs!$A:$B,2,0),M337,1),"")</f>
        <v>T</v>
      </c>
      <c r="M337" s="9">
        <v>79</v>
      </c>
      <c r="N337" s="9" t="str">
        <f>IFERROR(MID(VLOOKUP($B337,Seqs!$A:$B,2,0),O337,1),"")</f>
        <v>E</v>
      </c>
      <c r="O337" s="9">
        <v>110</v>
      </c>
      <c r="P337" s="9" t="str">
        <f>IFERROR(MID(VLOOKUP($B337,Seqs!$A:$B,2,0),Q337,1),"")</f>
        <v>S</v>
      </c>
      <c r="Q337" s="9">
        <v>111</v>
      </c>
      <c r="R337" s="9" t="str">
        <f>IFERROR(MID(VLOOKUP($B337,Seqs!$A:$B,2,0),S337,1),"")</f>
        <v>F</v>
      </c>
      <c r="S337" s="9">
        <v>114</v>
      </c>
      <c r="T337" s="9" t="str">
        <f>IFERROR(MID(VLOOKUP($B337,Seqs!$A:$B,2,0),U337,1),"")</f>
        <v>G</v>
      </c>
      <c r="U337" s="9">
        <v>115</v>
      </c>
      <c r="V337" s="9" t="str">
        <f>IFERROR(MID(VLOOKUP($B337,Seqs!$A:$B,2,0),W337,1),"")</f>
        <v>H</v>
      </c>
      <c r="W337" s="9">
        <v>150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T</v>
      </c>
      <c r="AC337" s="9">
        <v>157</v>
      </c>
      <c r="AD337" s="9" t="str">
        <f>IFERROR(MID(VLOOKUP($B337,Seqs!$A:$B,2,0),AE337,1),"")</f>
        <v>M</v>
      </c>
      <c r="AE337" s="9">
        <v>183</v>
      </c>
      <c r="AF337" s="9" t="str">
        <f>IFERROR(MID(VLOOKUP($B337,Seqs!$A:$B,2,0),AG337,1),"")</f>
        <v>C</v>
      </c>
      <c r="AG337" s="9">
        <v>202</v>
      </c>
      <c r="AH337" s="9" t="str">
        <f>IFERROR(MID(VLOOKUP($B337,Seqs!$A:$B,2,0),AI337,1),"")</f>
        <v>E</v>
      </c>
      <c r="AI337" s="9">
        <v>204</v>
      </c>
      <c r="AJ337" s="9" t="str">
        <f>IFERROR(MID(VLOOKUP($B337,Seqs!$A:$B,2,0),AK337,1),"")</f>
        <v>L</v>
      </c>
      <c r="AK337" s="9">
        <v>210</v>
      </c>
      <c r="AL337" s="9" t="str">
        <f>IFERROR(MID(VLOOKUP($B337,Seqs!$A:$B,2,0),AM337,1),"")</f>
        <v>W</v>
      </c>
      <c r="AM337" s="9">
        <v>243</v>
      </c>
      <c r="AN337" s="9" t="str">
        <f>IFERROR(MID(VLOOKUP($B337,Seqs!$A:$B,2,0),AO337,1),"")</f>
        <v>E</v>
      </c>
      <c r="AO337" s="9">
        <v>286</v>
      </c>
      <c r="AP337" s="9" t="str">
        <f>IFERROR(MID(VLOOKUP($B337,Seqs!$A:$B,2,0),AQ337,1),"")</f>
        <v>F</v>
      </c>
      <c r="AQ337" s="9">
        <v>324</v>
      </c>
      <c r="AR337" s="9" t="str">
        <f>IFERROR(MID(VLOOKUP($B337,Seqs!$A:$B,2,0),AS337,1),"")</f>
        <v>D</v>
      </c>
      <c r="AS337" s="9">
        <v>332</v>
      </c>
      <c r="AT337" s="9" t="str">
        <f>IFERROR(MID(VLOOKUP($B337,Seqs!$A:$B,2,0),AU337,1),"")</f>
        <v>L</v>
      </c>
      <c r="AU337" s="9">
        <v>361</v>
      </c>
      <c r="AV337" s="9" t="str">
        <f>IFERROR(MID(VLOOKUP($B337,Seqs!$A:$B,2,0),AW337,1),"")</f>
        <v>S</v>
      </c>
      <c r="AW337" s="9">
        <v>362</v>
      </c>
      <c r="AX337" s="9" t="str">
        <f>IFERROR(MID(VLOOKUP($B337,Seqs!$A:$B,2,0),AY337,1),"")</f>
        <v>L</v>
      </c>
      <c r="AY337" s="9">
        <v>377</v>
      </c>
      <c r="AZ337" s="110" t="str">
        <f>VLOOKUP(B337,Classification!A:D,2,0)</f>
        <v>A</v>
      </c>
      <c r="BA337" s="98" t="str">
        <f>VLOOKUP(B337,Classification!A:D,4,0)</f>
        <v>Orexin</v>
      </c>
      <c r="BB337" s="36" t="b">
        <f t="shared" ref="BB337" si="2852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109">
        <f t="shared" ref="BC337" si="2853">_xlfn.AGGREGATE(9,6,CH337:CS337)-_xlfn.AGGREGATE(9,6,BV337:CG337)+12</f>
        <v>256</v>
      </c>
      <c r="BD337" s="40" t="s">
        <v>23</v>
      </c>
      <c r="BE337" s="9" t="s">
        <v>1368</v>
      </c>
      <c r="BF337" s="119">
        <v>2.34</v>
      </c>
      <c r="BG337" s="51" t="s">
        <v>1275</v>
      </c>
      <c r="BH337" s="51" t="s">
        <v>1275</v>
      </c>
      <c r="BJ337" s="111" t="s">
        <v>1281</v>
      </c>
      <c r="BK337" s="112" t="s">
        <v>1281</v>
      </c>
      <c r="BL337" s="112" t="s">
        <v>1281</v>
      </c>
      <c r="BM337" s="112" t="s">
        <v>1281</v>
      </c>
      <c r="BN337" s="112" t="s">
        <v>1281</v>
      </c>
      <c r="BO337" s="112" t="s">
        <v>1281</v>
      </c>
      <c r="BP337" s="112" t="s">
        <v>1281</v>
      </c>
      <c r="BQ337" s="112" t="s">
        <v>1281</v>
      </c>
      <c r="BR337" s="112" t="s">
        <v>1281</v>
      </c>
      <c r="BS337" s="112" t="s">
        <v>1281</v>
      </c>
      <c r="BT337" s="112" t="s">
        <v>1281</v>
      </c>
      <c r="BU337" s="112" t="s">
        <v>1281</v>
      </c>
      <c r="BV337" s="111">
        <f t="shared" ref="BV337" si="2854">E337</f>
        <v>45</v>
      </c>
      <c r="BW337" s="113">
        <f t="shared" ref="BW337" si="2855">I337</f>
        <v>75</v>
      </c>
      <c r="BX337" s="114">
        <f t="shared" ref="BX337" si="2856">M337</f>
        <v>79</v>
      </c>
      <c r="BY337" s="113">
        <f t="shared" ref="BY337" si="2857">Q337</f>
        <v>111</v>
      </c>
      <c r="BZ337" s="114">
        <f t="shared" ref="BZ337" si="2858">U337</f>
        <v>115</v>
      </c>
      <c r="CA337" s="113" t="str">
        <f t="shared" ref="CA337" si="2859">Y337</f>
        <v>-</v>
      </c>
      <c r="CB337" s="114">
        <f t="shared" ref="CB337" si="2860">AC337</f>
        <v>157</v>
      </c>
      <c r="CC337" s="113">
        <f t="shared" ref="CC337" si="2861">AG337</f>
        <v>202</v>
      </c>
      <c r="CD337" s="114">
        <f t="shared" ref="CD337" si="2862">AK337</f>
        <v>210</v>
      </c>
      <c r="CE337" s="113">
        <f t="shared" ref="CE337" si="2863">AO337</f>
        <v>286</v>
      </c>
      <c r="CF337" s="114">
        <f t="shared" ref="CF337" si="2864">AS337</f>
        <v>332</v>
      </c>
      <c r="CG337" s="113">
        <f t="shared" ref="CG337" si="2865">AW337</f>
        <v>362</v>
      </c>
      <c r="CH337" s="111">
        <f t="shared" ref="CH337" si="2866">G337</f>
        <v>74</v>
      </c>
      <c r="CI337" s="113">
        <f t="shared" ref="CI337" si="2867">K337</f>
        <v>78</v>
      </c>
      <c r="CJ337" s="114">
        <f t="shared" ref="CJ337" si="2868">O337</f>
        <v>110</v>
      </c>
      <c r="CK337" s="114">
        <f t="shared" ref="CK337" si="2869">S337</f>
        <v>114</v>
      </c>
      <c r="CL337" s="114">
        <f t="shared" ref="CL337" si="2870">W337</f>
        <v>150</v>
      </c>
      <c r="CM337" s="114" t="str">
        <f t="shared" ref="CM337" si="2871">AA337</f>
        <v>-</v>
      </c>
      <c r="CN337" s="114">
        <f t="shared" ref="CN337" si="2872">AE337</f>
        <v>183</v>
      </c>
      <c r="CO337" s="114">
        <f t="shared" ref="CO337" si="2873">AI337</f>
        <v>204</v>
      </c>
      <c r="CP337" s="114">
        <f t="shared" ref="CP337" si="2874">AM337</f>
        <v>243</v>
      </c>
      <c r="CQ337" s="114">
        <f t="shared" ref="CQ337" si="2875">AQ337</f>
        <v>324</v>
      </c>
      <c r="CR337" s="114">
        <f t="shared" ref="CR337" si="2876">AU337</f>
        <v>361</v>
      </c>
      <c r="CS337" s="114">
        <f t="shared" ref="CS337" si="2877">AY337</f>
        <v>377</v>
      </c>
      <c r="CT337" s="109">
        <f t="shared" ref="CT337" si="2878">M337-K337</f>
        <v>1</v>
      </c>
      <c r="AMP337" s="40"/>
    </row>
    <row r="338" spans="1:1030" s="12" customFormat="1" x14ac:dyDescent="0.2">
      <c r="A338" s="9" t="str">
        <f t="shared" ref="A338" si="2879">CONCATENATE(B338,"_",C338)</f>
        <v>ox1r_human_6TQ4</v>
      </c>
      <c r="B338" s="9" t="s">
        <v>1168</v>
      </c>
      <c r="C338" s="9" t="s">
        <v>1624</v>
      </c>
      <c r="D338" s="9" t="str">
        <f>IFERROR(MID(VLOOKUP($B338,Seqs!$A:$B,2,0),E338,1),"")</f>
        <v>Y</v>
      </c>
      <c r="E338" s="9">
        <v>45</v>
      </c>
      <c r="F338" s="9" t="str">
        <f>IFERROR(MID(VLOOKUP($B338,Seqs!$A:$B,2,0),G338,1),"")</f>
        <v>N</v>
      </c>
      <c r="G338" s="9">
        <v>74</v>
      </c>
      <c r="H338" s="9" t="str">
        <f>IFERROR(MID(VLOOKUP($B338,Seqs!$A:$B,2,0),I338,1),"")</f>
        <v>H</v>
      </c>
      <c r="I338" s="109">
        <v>75</v>
      </c>
      <c r="J338" s="9" t="str">
        <f>IFERROR(MID(VLOOKUP($B338,Seqs!$A:$B,2,0),K338,1),"")</f>
        <v>R</v>
      </c>
      <c r="K338" s="109">
        <v>78</v>
      </c>
      <c r="L338" s="9" t="str">
        <f>IFERROR(MID(VLOOKUP($B338,Seqs!$A:$B,2,0),M338,1),"")</f>
        <v>T</v>
      </c>
      <c r="M338" s="9">
        <v>79</v>
      </c>
      <c r="N338" s="9" t="str">
        <f>IFERROR(MID(VLOOKUP($B338,Seqs!$A:$B,2,0),O338,1),"")</f>
        <v>E</v>
      </c>
      <c r="O338" s="9">
        <v>110</v>
      </c>
      <c r="P338" s="9" t="str">
        <f>IFERROR(MID(VLOOKUP($B338,Seqs!$A:$B,2,0),Q338,1),"")</f>
        <v>S</v>
      </c>
      <c r="Q338" s="9">
        <v>111</v>
      </c>
      <c r="R338" s="9" t="str">
        <f>IFERROR(MID(VLOOKUP($B338,Seqs!$A:$B,2,0),S338,1),"")</f>
        <v>F</v>
      </c>
      <c r="S338" s="9">
        <v>114</v>
      </c>
      <c r="T338" s="9" t="str">
        <f>IFERROR(MID(VLOOKUP($B338,Seqs!$A:$B,2,0),U338,1),"")</f>
        <v>G</v>
      </c>
      <c r="U338" s="9">
        <v>115</v>
      </c>
      <c r="V338" s="9" t="str">
        <f>IFERROR(MID(VLOOKUP($B338,Seqs!$A:$B,2,0),W338,1),"")</f>
        <v>H</v>
      </c>
      <c r="W338" s="9">
        <v>150</v>
      </c>
      <c r="X338" s="9" t="str">
        <f>IFERROR(MID(VLOOKUP($B338,Seqs!$A:$B,2,0),Y338,1),"")</f>
        <v/>
      </c>
      <c r="Y338" s="9" t="s">
        <v>23</v>
      </c>
      <c r="Z338" s="9" t="str">
        <f>IFERROR(MID(VLOOKUP($B338,Seqs!$A:$B,2,0),AA338,1),"")</f>
        <v/>
      </c>
      <c r="AA338" s="9" t="s">
        <v>23</v>
      </c>
      <c r="AB338" s="9" t="str">
        <f>IFERROR(MID(VLOOKUP($B338,Seqs!$A:$B,2,0),AC338,1),"")</f>
        <v>T</v>
      </c>
      <c r="AC338" s="9">
        <v>157</v>
      </c>
      <c r="AD338" s="9" t="str">
        <f>IFERROR(MID(VLOOKUP($B338,Seqs!$A:$B,2,0),AE338,1),"")</f>
        <v>M</v>
      </c>
      <c r="AE338" s="9">
        <v>183</v>
      </c>
      <c r="AF338" s="9" t="str">
        <f>IFERROR(MID(VLOOKUP($B338,Seqs!$A:$B,2,0),AG338,1),"")</f>
        <v>C</v>
      </c>
      <c r="AG338" s="9">
        <v>202</v>
      </c>
      <c r="AH338" s="9" t="str">
        <f>IFERROR(MID(VLOOKUP($B338,Seqs!$A:$B,2,0),AI338,1),"")</f>
        <v>E</v>
      </c>
      <c r="AI338" s="9">
        <v>204</v>
      </c>
      <c r="AJ338" s="9" t="str">
        <f>IFERROR(MID(VLOOKUP($B338,Seqs!$A:$B,2,0),AK338,1),"")</f>
        <v>L</v>
      </c>
      <c r="AK338" s="9">
        <v>210</v>
      </c>
      <c r="AL338" s="9" t="str">
        <f>IFERROR(MID(VLOOKUP($B338,Seqs!$A:$B,2,0),AM338,1),"")</f>
        <v>W</v>
      </c>
      <c r="AM338" s="9">
        <v>243</v>
      </c>
      <c r="AN338" s="9" t="str">
        <f>IFERROR(MID(VLOOKUP($B338,Seqs!$A:$B,2,0),AO338,1),"")</f>
        <v>E</v>
      </c>
      <c r="AO338" s="9">
        <v>286</v>
      </c>
      <c r="AP338" s="9" t="str">
        <f>IFERROR(MID(VLOOKUP($B338,Seqs!$A:$B,2,0),AQ338,1),"")</f>
        <v>F</v>
      </c>
      <c r="AQ338" s="9">
        <v>324</v>
      </c>
      <c r="AR338" s="9" t="str">
        <f>IFERROR(MID(VLOOKUP($B338,Seqs!$A:$B,2,0),AS338,1),"")</f>
        <v>D</v>
      </c>
      <c r="AS338" s="9">
        <v>332</v>
      </c>
      <c r="AT338" s="9" t="str">
        <f>IFERROR(MID(VLOOKUP($B338,Seqs!$A:$B,2,0),AU338,1),"")</f>
        <v>L</v>
      </c>
      <c r="AU338" s="9">
        <v>361</v>
      </c>
      <c r="AV338" s="9" t="str">
        <f>IFERROR(MID(VLOOKUP($B338,Seqs!$A:$B,2,0),AW338,1),"")</f>
        <v>S</v>
      </c>
      <c r="AW338" s="9">
        <v>362</v>
      </c>
      <c r="AX338" s="9" t="str">
        <f>IFERROR(MID(VLOOKUP($B338,Seqs!$A:$B,2,0),AY338,1),"")</f>
        <v>C</v>
      </c>
      <c r="AY338" s="9">
        <v>376</v>
      </c>
      <c r="AZ338" s="110" t="str">
        <f>VLOOKUP(B338,Classification!A:D,2,0)</f>
        <v>A</v>
      </c>
      <c r="BA338" s="98" t="str">
        <f>VLOOKUP(B338,Classification!A:D,4,0)</f>
        <v>Orexin</v>
      </c>
      <c r="BB338" s="36" t="b">
        <f t="shared" ref="BB338" si="2880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" si="2881">_xlfn.AGGREGATE(9,6,CH338:CS338)-_xlfn.AGGREGATE(9,6,BV338:CG338)+12</f>
        <v>255</v>
      </c>
      <c r="BD338" s="40" t="s">
        <v>23</v>
      </c>
      <c r="BE338" s="9" t="s">
        <v>1368</v>
      </c>
      <c r="BF338" s="119">
        <v>2.2999999999999998</v>
      </c>
      <c r="BG338" s="51" t="s">
        <v>1275</v>
      </c>
      <c r="BH338" s="51" t="s">
        <v>1275</v>
      </c>
      <c r="BJ338" s="111" t="s">
        <v>1281</v>
      </c>
      <c r="BK338" s="112" t="s">
        <v>1281</v>
      </c>
      <c r="BL338" s="112" t="s">
        <v>1281</v>
      </c>
      <c r="BM338" s="112" t="s">
        <v>1281</v>
      </c>
      <c r="BN338" s="112" t="s">
        <v>1281</v>
      </c>
      <c r="BO338" s="112" t="s">
        <v>1281</v>
      </c>
      <c r="BP338" s="112" t="s">
        <v>1281</v>
      </c>
      <c r="BQ338" s="112" t="s">
        <v>1281</v>
      </c>
      <c r="BR338" s="112" t="s">
        <v>1281</v>
      </c>
      <c r="BS338" s="112" t="s">
        <v>1281</v>
      </c>
      <c r="BT338" s="112" t="s">
        <v>1281</v>
      </c>
      <c r="BU338" s="112" t="s">
        <v>1281</v>
      </c>
      <c r="BV338" s="111">
        <f t="shared" ref="BV338" si="2882">E338</f>
        <v>45</v>
      </c>
      <c r="BW338" s="113">
        <f t="shared" ref="BW338" si="2883">I338</f>
        <v>75</v>
      </c>
      <c r="BX338" s="114">
        <f t="shared" ref="BX338" si="2884">M338</f>
        <v>79</v>
      </c>
      <c r="BY338" s="113">
        <f t="shared" ref="BY338" si="2885">Q338</f>
        <v>111</v>
      </c>
      <c r="BZ338" s="114">
        <f t="shared" ref="BZ338" si="2886">U338</f>
        <v>115</v>
      </c>
      <c r="CA338" s="113" t="str">
        <f t="shared" ref="CA338" si="2887">Y338</f>
        <v>-</v>
      </c>
      <c r="CB338" s="114">
        <f t="shared" ref="CB338" si="2888">AC338</f>
        <v>157</v>
      </c>
      <c r="CC338" s="113">
        <f t="shared" ref="CC338" si="2889">AG338</f>
        <v>202</v>
      </c>
      <c r="CD338" s="114">
        <f t="shared" ref="CD338" si="2890">AK338</f>
        <v>210</v>
      </c>
      <c r="CE338" s="113">
        <f t="shared" ref="CE338" si="2891">AO338</f>
        <v>286</v>
      </c>
      <c r="CF338" s="114">
        <f t="shared" ref="CF338" si="2892">AS338</f>
        <v>332</v>
      </c>
      <c r="CG338" s="113">
        <f t="shared" ref="CG338" si="2893">AW338</f>
        <v>362</v>
      </c>
      <c r="CH338" s="111">
        <f t="shared" ref="CH338" si="2894">G338</f>
        <v>74</v>
      </c>
      <c r="CI338" s="113">
        <f t="shared" ref="CI338" si="2895">K338</f>
        <v>78</v>
      </c>
      <c r="CJ338" s="114">
        <f t="shared" ref="CJ338" si="2896">O338</f>
        <v>110</v>
      </c>
      <c r="CK338" s="114">
        <f t="shared" ref="CK338" si="2897">S338</f>
        <v>114</v>
      </c>
      <c r="CL338" s="114">
        <f t="shared" ref="CL338" si="2898">W338</f>
        <v>150</v>
      </c>
      <c r="CM338" s="114" t="str">
        <f t="shared" ref="CM338" si="2899">AA338</f>
        <v>-</v>
      </c>
      <c r="CN338" s="114">
        <f t="shared" ref="CN338" si="2900">AE338</f>
        <v>183</v>
      </c>
      <c r="CO338" s="114">
        <f t="shared" ref="CO338" si="2901">AI338</f>
        <v>204</v>
      </c>
      <c r="CP338" s="114">
        <f t="shared" ref="CP338" si="2902">AM338</f>
        <v>243</v>
      </c>
      <c r="CQ338" s="114">
        <f t="shared" ref="CQ338" si="2903">AQ338</f>
        <v>324</v>
      </c>
      <c r="CR338" s="114">
        <f t="shared" ref="CR338" si="2904">AU338</f>
        <v>361</v>
      </c>
      <c r="CS338" s="114">
        <f t="shared" ref="CS338" si="2905">AY338</f>
        <v>376</v>
      </c>
      <c r="CT338" s="109">
        <f t="shared" ref="CT338" si="2906">M338-K338</f>
        <v>1</v>
      </c>
      <c r="AMP338" s="40"/>
    </row>
    <row r="339" spans="1:1030" s="12" customFormat="1" x14ac:dyDescent="0.2">
      <c r="A339" s="9" t="str">
        <f t="shared" ref="A339" si="2907">CONCATENATE(B339,"_",C339)</f>
        <v>ox1r_human_6TQ6</v>
      </c>
      <c r="B339" s="9" t="s">
        <v>1168</v>
      </c>
      <c r="C339" s="9" t="s">
        <v>1625</v>
      </c>
      <c r="D339" s="9" t="str">
        <f>IFERROR(MID(VLOOKUP($B339,Seqs!$A:$B,2,0),E339,1),"")</f>
        <v>Y</v>
      </c>
      <c r="E339" s="9">
        <v>45</v>
      </c>
      <c r="F339" s="9" t="str">
        <f>IFERROR(MID(VLOOKUP($B339,Seqs!$A:$B,2,0),G339,1),"")</f>
        <v>N</v>
      </c>
      <c r="G339" s="9">
        <v>74</v>
      </c>
      <c r="H339" s="9" t="str">
        <f>IFERROR(MID(VLOOKUP($B339,Seqs!$A:$B,2,0),I339,1),"")</f>
        <v>H</v>
      </c>
      <c r="I339" s="109">
        <v>75</v>
      </c>
      <c r="J339" s="9" t="str">
        <f>IFERROR(MID(VLOOKUP($B339,Seqs!$A:$B,2,0),K339,1),"")</f>
        <v>R</v>
      </c>
      <c r="K339" s="109">
        <v>78</v>
      </c>
      <c r="L339" s="9" t="str">
        <f>IFERROR(MID(VLOOKUP($B339,Seqs!$A:$B,2,0),M339,1),"")</f>
        <v>T</v>
      </c>
      <c r="M339" s="9">
        <v>79</v>
      </c>
      <c r="N339" s="9" t="str">
        <f>IFERROR(MID(VLOOKUP($B339,Seqs!$A:$B,2,0),O339,1),"")</f>
        <v>E</v>
      </c>
      <c r="O339" s="9">
        <v>110</v>
      </c>
      <c r="P339" s="9" t="str">
        <f>IFERROR(MID(VLOOKUP($B339,Seqs!$A:$B,2,0),Q339,1),"")</f>
        <v>S</v>
      </c>
      <c r="Q339" s="9">
        <v>111</v>
      </c>
      <c r="R339" s="9" t="str">
        <f>IFERROR(MID(VLOOKUP($B339,Seqs!$A:$B,2,0),S339,1),"")</f>
        <v>F</v>
      </c>
      <c r="S339" s="9">
        <v>114</v>
      </c>
      <c r="T339" s="9" t="str">
        <f>IFERROR(MID(VLOOKUP($B339,Seqs!$A:$B,2,0),U339,1),"")</f>
        <v>G</v>
      </c>
      <c r="U339" s="9">
        <v>115</v>
      </c>
      <c r="V339" s="9" t="str">
        <f>IFERROR(MID(VLOOKUP($B339,Seqs!$A:$B,2,0),W339,1),"")</f>
        <v>H</v>
      </c>
      <c r="W339" s="9">
        <v>150</v>
      </c>
      <c r="X339" s="9" t="str">
        <f>IFERROR(MID(VLOOKUP($B339,Seqs!$A:$B,2,0),Y339,1),"")</f>
        <v/>
      </c>
      <c r="Y339" s="9" t="s">
        <v>23</v>
      </c>
      <c r="Z339" s="9" t="str">
        <f>IFERROR(MID(VLOOKUP($B339,Seqs!$A:$B,2,0),AA339,1),"")</f>
        <v/>
      </c>
      <c r="AA339" s="9" t="s">
        <v>23</v>
      </c>
      <c r="AB339" s="9" t="str">
        <f>IFERROR(MID(VLOOKUP($B339,Seqs!$A:$B,2,0),AC339,1),"")</f>
        <v>T</v>
      </c>
      <c r="AC339" s="9">
        <v>157</v>
      </c>
      <c r="AD339" s="9" t="str">
        <f>IFERROR(MID(VLOOKUP($B339,Seqs!$A:$B,2,0),AE339,1),"")</f>
        <v>M</v>
      </c>
      <c r="AE339" s="9">
        <v>183</v>
      </c>
      <c r="AF339" s="9" t="str">
        <f>IFERROR(MID(VLOOKUP($B339,Seqs!$A:$B,2,0),AG339,1),"")</f>
        <v>C</v>
      </c>
      <c r="AG339" s="9">
        <v>202</v>
      </c>
      <c r="AH339" s="9" t="str">
        <f>IFERROR(MID(VLOOKUP($B339,Seqs!$A:$B,2,0),AI339,1),"")</f>
        <v>E</v>
      </c>
      <c r="AI339" s="9">
        <v>204</v>
      </c>
      <c r="AJ339" s="9" t="str">
        <f>IFERROR(MID(VLOOKUP($B339,Seqs!$A:$B,2,0),AK339,1),"")</f>
        <v>L</v>
      </c>
      <c r="AK339" s="9">
        <v>210</v>
      </c>
      <c r="AL339" s="9" t="str">
        <f>IFERROR(MID(VLOOKUP($B339,Seqs!$A:$B,2,0),AM339,1),"")</f>
        <v>W</v>
      </c>
      <c r="AM339" s="9">
        <v>243</v>
      </c>
      <c r="AN339" s="9" t="str">
        <f>IFERROR(MID(VLOOKUP($B339,Seqs!$A:$B,2,0),AO339,1),"")</f>
        <v>E</v>
      </c>
      <c r="AO339" s="9">
        <v>286</v>
      </c>
      <c r="AP339" s="9" t="str">
        <f>IFERROR(MID(VLOOKUP($B339,Seqs!$A:$B,2,0),AQ339,1),"")</f>
        <v>F</v>
      </c>
      <c r="AQ339" s="9">
        <v>324</v>
      </c>
      <c r="AR339" s="9" t="str">
        <f>IFERROR(MID(VLOOKUP($B339,Seqs!$A:$B,2,0),AS339,1),"")</f>
        <v>D</v>
      </c>
      <c r="AS339" s="9">
        <v>332</v>
      </c>
      <c r="AT339" s="9" t="str">
        <f>IFERROR(MID(VLOOKUP($B339,Seqs!$A:$B,2,0),AU339,1),"")</f>
        <v>L</v>
      </c>
      <c r="AU339" s="9">
        <v>361</v>
      </c>
      <c r="AV339" s="9" t="str">
        <f>IFERROR(MID(VLOOKUP($B339,Seqs!$A:$B,2,0),AW339,1),"")</f>
        <v>S</v>
      </c>
      <c r="AW339" s="9">
        <v>362</v>
      </c>
      <c r="AX339" s="9" t="str">
        <f>IFERROR(MID(VLOOKUP($B339,Seqs!$A:$B,2,0),AY339,1),"")</f>
        <v>L</v>
      </c>
      <c r="AY339" s="9">
        <v>377</v>
      </c>
      <c r="AZ339" s="110" t="str">
        <f>VLOOKUP(B339,Classification!A:D,2,0)</f>
        <v>A</v>
      </c>
      <c r="BA339" s="98" t="str">
        <f>VLOOKUP(B339,Classification!A:D,4,0)</f>
        <v>Orexin</v>
      </c>
      <c r="BB339" s="36" t="b">
        <f t="shared" ref="BB339" si="2908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109">
        <f t="shared" ref="BC339" si="2909">_xlfn.AGGREGATE(9,6,CH339:CS339)-_xlfn.AGGREGATE(9,6,BV339:CG339)+12</f>
        <v>256</v>
      </c>
      <c r="BD339" s="40" t="s">
        <v>23</v>
      </c>
      <c r="BE339" s="9" t="s">
        <v>1368</v>
      </c>
      <c r="BF339" s="119">
        <v>2.5499999999999998</v>
      </c>
      <c r="BG339" s="51" t="s">
        <v>1275</v>
      </c>
      <c r="BH339" s="51" t="s">
        <v>1275</v>
      </c>
      <c r="BJ339" s="111" t="s">
        <v>1281</v>
      </c>
      <c r="BK339" s="112" t="s">
        <v>1281</v>
      </c>
      <c r="BL339" s="112" t="s">
        <v>1281</v>
      </c>
      <c r="BM339" s="112" t="s">
        <v>1281</v>
      </c>
      <c r="BN339" s="112" t="s">
        <v>1281</v>
      </c>
      <c r="BO339" s="112" t="s">
        <v>1281</v>
      </c>
      <c r="BP339" s="112" t="s">
        <v>1281</v>
      </c>
      <c r="BQ339" s="112" t="s">
        <v>1281</v>
      </c>
      <c r="BR339" s="112" t="s">
        <v>1281</v>
      </c>
      <c r="BS339" s="112" t="s">
        <v>1281</v>
      </c>
      <c r="BT339" s="112" t="s">
        <v>1281</v>
      </c>
      <c r="BU339" s="112" t="s">
        <v>1281</v>
      </c>
      <c r="BV339" s="111">
        <f t="shared" ref="BV339" si="2910">E339</f>
        <v>45</v>
      </c>
      <c r="BW339" s="113">
        <f t="shared" ref="BW339" si="2911">I339</f>
        <v>75</v>
      </c>
      <c r="BX339" s="114">
        <f t="shared" ref="BX339" si="2912">M339</f>
        <v>79</v>
      </c>
      <c r="BY339" s="113">
        <f t="shared" ref="BY339" si="2913">Q339</f>
        <v>111</v>
      </c>
      <c r="BZ339" s="114">
        <f t="shared" ref="BZ339" si="2914">U339</f>
        <v>115</v>
      </c>
      <c r="CA339" s="113" t="str">
        <f t="shared" ref="CA339" si="2915">Y339</f>
        <v>-</v>
      </c>
      <c r="CB339" s="114">
        <f t="shared" ref="CB339" si="2916">AC339</f>
        <v>157</v>
      </c>
      <c r="CC339" s="113">
        <f t="shared" ref="CC339" si="2917">AG339</f>
        <v>202</v>
      </c>
      <c r="CD339" s="114">
        <f t="shared" ref="CD339" si="2918">AK339</f>
        <v>210</v>
      </c>
      <c r="CE339" s="113">
        <f t="shared" ref="CE339" si="2919">AO339</f>
        <v>286</v>
      </c>
      <c r="CF339" s="114">
        <f t="shared" ref="CF339" si="2920">AS339</f>
        <v>332</v>
      </c>
      <c r="CG339" s="113">
        <f t="shared" ref="CG339" si="2921">AW339</f>
        <v>362</v>
      </c>
      <c r="CH339" s="111">
        <f t="shared" ref="CH339" si="2922">G339</f>
        <v>74</v>
      </c>
      <c r="CI339" s="113">
        <f t="shared" ref="CI339" si="2923">K339</f>
        <v>78</v>
      </c>
      <c r="CJ339" s="114">
        <f t="shared" ref="CJ339" si="2924">O339</f>
        <v>110</v>
      </c>
      <c r="CK339" s="114">
        <f t="shared" ref="CK339" si="2925">S339</f>
        <v>114</v>
      </c>
      <c r="CL339" s="114">
        <f t="shared" ref="CL339" si="2926">W339</f>
        <v>150</v>
      </c>
      <c r="CM339" s="114" t="str">
        <f t="shared" ref="CM339" si="2927">AA339</f>
        <v>-</v>
      </c>
      <c r="CN339" s="114">
        <f t="shared" ref="CN339" si="2928">AE339</f>
        <v>183</v>
      </c>
      <c r="CO339" s="114">
        <f t="shared" ref="CO339" si="2929">AI339</f>
        <v>204</v>
      </c>
      <c r="CP339" s="114">
        <f t="shared" ref="CP339" si="2930">AM339</f>
        <v>243</v>
      </c>
      <c r="CQ339" s="114">
        <f t="shared" ref="CQ339" si="2931">AQ339</f>
        <v>324</v>
      </c>
      <c r="CR339" s="114">
        <f t="shared" ref="CR339" si="2932">AU339</f>
        <v>361</v>
      </c>
      <c r="CS339" s="114">
        <f t="shared" ref="CS339" si="2933">AY339</f>
        <v>377</v>
      </c>
      <c r="CT339" s="109">
        <f t="shared" ref="CT339" si="2934">M339-K339</f>
        <v>1</v>
      </c>
      <c r="AMP339" s="40"/>
    </row>
    <row r="340" spans="1:1030" s="12" customFormat="1" x14ac:dyDescent="0.2">
      <c r="A340" s="9" t="str">
        <f t="shared" ref="A340" si="2935">CONCATENATE(B340,"_",C340)</f>
        <v>ox1r_human_6TQ7</v>
      </c>
      <c r="B340" s="9" t="s">
        <v>1168</v>
      </c>
      <c r="C340" s="9" t="s">
        <v>1626</v>
      </c>
      <c r="D340" s="9" t="str">
        <f>IFERROR(MID(VLOOKUP($B340,Seqs!$A:$B,2,0),E340,1),"")</f>
        <v>Y</v>
      </c>
      <c r="E340" s="9">
        <v>45</v>
      </c>
      <c r="F340" s="9" t="str">
        <f>IFERROR(MID(VLOOKUP($B340,Seqs!$A:$B,2,0),G340,1),"")</f>
        <v>N</v>
      </c>
      <c r="G340" s="9">
        <v>74</v>
      </c>
      <c r="H340" s="9" t="str">
        <f>IFERROR(MID(VLOOKUP($B340,Seqs!$A:$B,2,0),I340,1),"")</f>
        <v>H</v>
      </c>
      <c r="I340" s="109">
        <v>75</v>
      </c>
      <c r="J340" s="9" t="str">
        <f>IFERROR(MID(VLOOKUP($B340,Seqs!$A:$B,2,0),K340,1),"")</f>
        <v>R</v>
      </c>
      <c r="K340" s="109">
        <v>78</v>
      </c>
      <c r="L340" s="9" t="str">
        <f>IFERROR(MID(VLOOKUP($B340,Seqs!$A:$B,2,0),M340,1),"")</f>
        <v>T</v>
      </c>
      <c r="M340" s="9">
        <v>79</v>
      </c>
      <c r="N340" s="9" t="str">
        <f>IFERROR(MID(VLOOKUP($B340,Seqs!$A:$B,2,0),O340,1),"")</f>
        <v>E</v>
      </c>
      <c r="O340" s="9">
        <v>110</v>
      </c>
      <c r="P340" s="9" t="str">
        <f>IFERROR(MID(VLOOKUP($B340,Seqs!$A:$B,2,0),Q340,1),"")</f>
        <v>S</v>
      </c>
      <c r="Q340" s="9">
        <v>111</v>
      </c>
      <c r="R340" s="9" t="str">
        <f>IFERROR(MID(VLOOKUP($B340,Seqs!$A:$B,2,0),S340,1),"")</f>
        <v>F</v>
      </c>
      <c r="S340" s="9">
        <v>114</v>
      </c>
      <c r="T340" s="9" t="str">
        <f>IFERROR(MID(VLOOKUP($B340,Seqs!$A:$B,2,0),U340,1),"")</f>
        <v>G</v>
      </c>
      <c r="U340" s="9">
        <v>115</v>
      </c>
      <c r="V340" s="9" t="str">
        <f>IFERROR(MID(VLOOKUP($B340,Seqs!$A:$B,2,0),W340,1),"")</f>
        <v>H</v>
      </c>
      <c r="W340" s="9">
        <v>150</v>
      </c>
      <c r="X340" s="9" t="str">
        <f>IFERROR(MID(VLOOKUP($B340,Seqs!$A:$B,2,0),Y340,1),"")</f>
        <v/>
      </c>
      <c r="Y340" s="9" t="s">
        <v>23</v>
      </c>
      <c r="Z340" s="9" t="str">
        <f>IFERROR(MID(VLOOKUP($B340,Seqs!$A:$B,2,0),AA340,1),"")</f>
        <v/>
      </c>
      <c r="AA340" s="9" t="s">
        <v>23</v>
      </c>
      <c r="AB340" s="9" t="str">
        <f>IFERROR(MID(VLOOKUP($B340,Seqs!$A:$B,2,0),AC340,1),"")</f>
        <v>T</v>
      </c>
      <c r="AC340" s="9">
        <v>157</v>
      </c>
      <c r="AD340" s="9" t="str">
        <f>IFERROR(MID(VLOOKUP($B340,Seqs!$A:$B,2,0),AE340,1),"")</f>
        <v>M</v>
      </c>
      <c r="AE340" s="9">
        <v>183</v>
      </c>
      <c r="AF340" s="9" t="str">
        <f>IFERROR(MID(VLOOKUP($B340,Seqs!$A:$B,2,0),AG340,1),"")</f>
        <v>C</v>
      </c>
      <c r="AG340" s="9">
        <v>202</v>
      </c>
      <c r="AH340" s="9" t="str">
        <f>IFERROR(MID(VLOOKUP($B340,Seqs!$A:$B,2,0),AI340,1),"")</f>
        <v>E</v>
      </c>
      <c r="AI340" s="9">
        <v>204</v>
      </c>
      <c r="AJ340" s="9" t="str">
        <f>IFERROR(MID(VLOOKUP($B340,Seqs!$A:$B,2,0),AK340,1),"")</f>
        <v>L</v>
      </c>
      <c r="AK340" s="9">
        <v>210</v>
      </c>
      <c r="AL340" s="9" t="str">
        <f>IFERROR(MID(VLOOKUP($B340,Seqs!$A:$B,2,0),AM340,1),"")</f>
        <v>W</v>
      </c>
      <c r="AM340" s="9">
        <v>243</v>
      </c>
      <c r="AN340" s="9" t="str">
        <f>IFERROR(MID(VLOOKUP($B340,Seqs!$A:$B,2,0),AO340,1),"")</f>
        <v>E</v>
      </c>
      <c r="AO340" s="9">
        <v>286</v>
      </c>
      <c r="AP340" s="9" t="str">
        <f>IFERROR(MID(VLOOKUP($B340,Seqs!$A:$B,2,0),AQ340,1),"")</f>
        <v>F</v>
      </c>
      <c r="AQ340" s="9">
        <v>324</v>
      </c>
      <c r="AR340" s="9" t="str">
        <f>IFERROR(MID(VLOOKUP($B340,Seqs!$A:$B,2,0),AS340,1),"")</f>
        <v>D</v>
      </c>
      <c r="AS340" s="9">
        <v>332</v>
      </c>
      <c r="AT340" s="9" t="str">
        <f>IFERROR(MID(VLOOKUP($B340,Seqs!$A:$B,2,0),AU340,1),"")</f>
        <v>L</v>
      </c>
      <c r="AU340" s="9">
        <v>361</v>
      </c>
      <c r="AV340" s="9" t="str">
        <f>IFERROR(MID(VLOOKUP($B340,Seqs!$A:$B,2,0),AW340,1),"")</f>
        <v>S</v>
      </c>
      <c r="AW340" s="9">
        <v>362</v>
      </c>
      <c r="AX340" s="9" t="str">
        <f>IFERROR(MID(VLOOKUP($B340,Seqs!$A:$B,2,0),AY340,1),"")</f>
        <v>L</v>
      </c>
      <c r="AY340" s="9">
        <v>377</v>
      </c>
      <c r="AZ340" s="110" t="str">
        <f>VLOOKUP(B340,Classification!A:D,2,0)</f>
        <v>A</v>
      </c>
      <c r="BA340" s="98" t="str">
        <f>VLOOKUP(B340,Classification!A:D,4,0)</f>
        <v>Orexin</v>
      </c>
      <c r="BB340" s="36" t="b">
        <f t="shared" ref="BB340" si="2936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109">
        <f t="shared" ref="BC340" si="2937">_xlfn.AGGREGATE(9,6,CH340:CS340)-_xlfn.AGGREGATE(9,6,BV340:CG340)+12</f>
        <v>256</v>
      </c>
      <c r="BD340" s="40" t="s">
        <v>23</v>
      </c>
      <c r="BE340" s="9" t="s">
        <v>1368</v>
      </c>
      <c r="BF340" s="119">
        <v>2.66</v>
      </c>
      <c r="BG340" s="51" t="s">
        <v>1</v>
      </c>
      <c r="BH340" s="51" t="s">
        <v>1</v>
      </c>
      <c r="BJ340" s="111" t="s">
        <v>1281</v>
      </c>
      <c r="BK340" s="112" t="s">
        <v>1281</v>
      </c>
      <c r="BL340" s="112" t="s">
        <v>1281</v>
      </c>
      <c r="BM340" s="112" t="s">
        <v>1281</v>
      </c>
      <c r="BN340" s="112" t="s">
        <v>1281</v>
      </c>
      <c r="BO340" s="112" t="s">
        <v>1281</v>
      </c>
      <c r="BP340" s="112" t="s">
        <v>1281</v>
      </c>
      <c r="BQ340" s="112" t="s">
        <v>1281</v>
      </c>
      <c r="BR340" s="112" t="s">
        <v>1281</v>
      </c>
      <c r="BS340" s="112" t="s">
        <v>1281</v>
      </c>
      <c r="BT340" s="112" t="s">
        <v>1281</v>
      </c>
      <c r="BU340" s="112" t="s">
        <v>1281</v>
      </c>
      <c r="BV340" s="111">
        <f t="shared" ref="BV340" si="2938">E340</f>
        <v>45</v>
      </c>
      <c r="BW340" s="113">
        <f t="shared" ref="BW340" si="2939">I340</f>
        <v>75</v>
      </c>
      <c r="BX340" s="114">
        <f t="shared" ref="BX340" si="2940">M340</f>
        <v>79</v>
      </c>
      <c r="BY340" s="113">
        <f t="shared" ref="BY340" si="2941">Q340</f>
        <v>111</v>
      </c>
      <c r="BZ340" s="114">
        <f t="shared" ref="BZ340" si="2942">U340</f>
        <v>115</v>
      </c>
      <c r="CA340" s="113" t="str">
        <f t="shared" ref="CA340" si="2943">Y340</f>
        <v>-</v>
      </c>
      <c r="CB340" s="114">
        <f t="shared" ref="CB340" si="2944">AC340</f>
        <v>157</v>
      </c>
      <c r="CC340" s="113">
        <f t="shared" ref="CC340" si="2945">AG340</f>
        <v>202</v>
      </c>
      <c r="CD340" s="114">
        <f t="shared" ref="CD340" si="2946">AK340</f>
        <v>210</v>
      </c>
      <c r="CE340" s="113">
        <f t="shared" ref="CE340" si="2947">AO340</f>
        <v>286</v>
      </c>
      <c r="CF340" s="114">
        <f t="shared" ref="CF340" si="2948">AS340</f>
        <v>332</v>
      </c>
      <c r="CG340" s="113">
        <f t="shared" ref="CG340" si="2949">AW340</f>
        <v>362</v>
      </c>
      <c r="CH340" s="111">
        <f t="shared" ref="CH340" si="2950">G340</f>
        <v>74</v>
      </c>
      <c r="CI340" s="113">
        <f t="shared" ref="CI340" si="2951">K340</f>
        <v>78</v>
      </c>
      <c r="CJ340" s="114">
        <f t="shared" ref="CJ340" si="2952">O340</f>
        <v>110</v>
      </c>
      <c r="CK340" s="114">
        <f t="shared" ref="CK340" si="2953">S340</f>
        <v>114</v>
      </c>
      <c r="CL340" s="114">
        <f t="shared" ref="CL340" si="2954">W340</f>
        <v>150</v>
      </c>
      <c r="CM340" s="114" t="str">
        <f t="shared" ref="CM340" si="2955">AA340</f>
        <v>-</v>
      </c>
      <c r="CN340" s="114">
        <f t="shared" ref="CN340" si="2956">AE340</f>
        <v>183</v>
      </c>
      <c r="CO340" s="114">
        <f t="shared" ref="CO340" si="2957">AI340</f>
        <v>204</v>
      </c>
      <c r="CP340" s="114">
        <f t="shared" ref="CP340" si="2958">AM340</f>
        <v>243</v>
      </c>
      <c r="CQ340" s="114">
        <f t="shared" ref="CQ340" si="2959">AQ340</f>
        <v>324</v>
      </c>
      <c r="CR340" s="114">
        <f t="shared" ref="CR340" si="2960">AU340</f>
        <v>361</v>
      </c>
      <c r="CS340" s="114">
        <f t="shared" ref="CS340" si="2961">AY340</f>
        <v>377</v>
      </c>
      <c r="CT340" s="109">
        <f t="shared" ref="CT340" si="2962">M340-K340</f>
        <v>1</v>
      </c>
      <c r="AMP340" s="40"/>
    </row>
    <row r="341" spans="1:1030" s="12" customFormat="1" x14ac:dyDescent="0.2">
      <c r="A341" s="9" t="str">
        <f t="shared" ref="A341" si="2963">CONCATENATE(B341,"_",C341)</f>
        <v>ox1r_human_6TQ9</v>
      </c>
      <c r="B341" s="9" t="s">
        <v>1168</v>
      </c>
      <c r="C341" s="9" t="s">
        <v>1627</v>
      </c>
      <c r="D341" s="9" t="str">
        <f>IFERROR(MID(VLOOKUP($B341,Seqs!$A:$B,2,0),E341,1),"")</f>
        <v>Y</v>
      </c>
      <c r="E341" s="9">
        <v>45</v>
      </c>
      <c r="F341" s="9" t="str">
        <f>IFERROR(MID(VLOOKUP($B341,Seqs!$A:$B,2,0),G341,1),"")</f>
        <v>N</v>
      </c>
      <c r="G341" s="9">
        <v>74</v>
      </c>
      <c r="H341" s="9" t="str">
        <f>IFERROR(MID(VLOOKUP($B341,Seqs!$A:$B,2,0),I341,1),"")</f>
        <v>H</v>
      </c>
      <c r="I341" s="109">
        <v>75</v>
      </c>
      <c r="J341" s="9" t="str">
        <f>IFERROR(MID(VLOOKUP($B341,Seqs!$A:$B,2,0),K341,1),"")</f>
        <v>R</v>
      </c>
      <c r="K341" s="109">
        <v>78</v>
      </c>
      <c r="L341" s="9" t="str">
        <f>IFERROR(MID(VLOOKUP($B341,Seqs!$A:$B,2,0),M341,1),"")</f>
        <v>T</v>
      </c>
      <c r="M341" s="9">
        <v>79</v>
      </c>
      <c r="N341" s="9" t="str">
        <f>IFERROR(MID(VLOOKUP($B341,Seqs!$A:$B,2,0),O341,1),"")</f>
        <v>E</v>
      </c>
      <c r="O341" s="9">
        <v>110</v>
      </c>
      <c r="P341" s="9" t="str">
        <f>IFERROR(MID(VLOOKUP($B341,Seqs!$A:$B,2,0),Q341,1),"")</f>
        <v>S</v>
      </c>
      <c r="Q341" s="9">
        <v>111</v>
      </c>
      <c r="R341" s="9" t="str">
        <f>IFERROR(MID(VLOOKUP($B341,Seqs!$A:$B,2,0),S341,1),"")</f>
        <v>F</v>
      </c>
      <c r="S341" s="9">
        <v>114</v>
      </c>
      <c r="T341" s="9" t="str">
        <f>IFERROR(MID(VLOOKUP($B341,Seqs!$A:$B,2,0),U341,1),"")</f>
        <v>G</v>
      </c>
      <c r="U341" s="9">
        <v>115</v>
      </c>
      <c r="V341" s="9" t="str">
        <f>IFERROR(MID(VLOOKUP($B341,Seqs!$A:$B,2,0),W341,1),"")</f>
        <v>H</v>
      </c>
      <c r="W341" s="9">
        <v>150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T</v>
      </c>
      <c r="AC341" s="9">
        <v>157</v>
      </c>
      <c r="AD341" s="9" t="str">
        <f>IFERROR(MID(VLOOKUP($B341,Seqs!$A:$B,2,0),AE341,1),"")</f>
        <v>M</v>
      </c>
      <c r="AE341" s="9">
        <v>183</v>
      </c>
      <c r="AF341" s="9" t="str">
        <f>IFERROR(MID(VLOOKUP($B341,Seqs!$A:$B,2,0),AG341,1),"")</f>
        <v>C</v>
      </c>
      <c r="AG341" s="9">
        <v>202</v>
      </c>
      <c r="AH341" s="9" t="str">
        <f>IFERROR(MID(VLOOKUP($B341,Seqs!$A:$B,2,0),AI341,1),"")</f>
        <v>E</v>
      </c>
      <c r="AI341" s="9">
        <v>204</v>
      </c>
      <c r="AJ341" s="9" t="str">
        <f>IFERROR(MID(VLOOKUP($B341,Seqs!$A:$B,2,0),AK341,1),"")</f>
        <v>L</v>
      </c>
      <c r="AK341" s="9">
        <v>210</v>
      </c>
      <c r="AL341" s="9" t="str">
        <f>IFERROR(MID(VLOOKUP($B341,Seqs!$A:$B,2,0),AM341,1),"")</f>
        <v>W</v>
      </c>
      <c r="AM341" s="9">
        <v>243</v>
      </c>
      <c r="AN341" s="9" t="str">
        <f>IFERROR(MID(VLOOKUP($B341,Seqs!$A:$B,2,0),AO341,1),"")</f>
        <v>E</v>
      </c>
      <c r="AO341" s="9">
        <v>286</v>
      </c>
      <c r="AP341" s="9" t="str">
        <f>IFERROR(MID(VLOOKUP($B341,Seqs!$A:$B,2,0),AQ341,1),"")</f>
        <v>F</v>
      </c>
      <c r="AQ341" s="9">
        <v>324</v>
      </c>
      <c r="AR341" s="9" t="str">
        <f>IFERROR(MID(VLOOKUP($B341,Seqs!$A:$B,2,0),AS341,1),"")</f>
        <v>D</v>
      </c>
      <c r="AS341" s="9">
        <v>332</v>
      </c>
      <c r="AT341" s="9" t="str">
        <f>IFERROR(MID(VLOOKUP($B341,Seqs!$A:$B,2,0),AU341,1),"")</f>
        <v>L</v>
      </c>
      <c r="AU341" s="9">
        <v>361</v>
      </c>
      <c r="AV341" s="9" t="str">
        <f>IFERROR(MID(VLOOKUP($B341,Seqs!$A:$B,2,0),AW341,1),"")</f>
        <v>S</v>
      </c>
      <c r="AW341" s="9">
        <v>362</v>
      </c>
      <c r="AX341" s="9" t="str">
        <f>IFERROR(MID(VLOOKUP($B341,Seqs!$A:$B,2,0),AY341,1),"")</f>
        <v>L</v>
      </c>
      <c r="AY341" s="9">
        <v>377</v>
      </c>
      <c r="AZ341" s="110" t="str">
        <f>VLOOKUP(B341,Classification!A:D,2,0)</f>
        <v>A</v>
      </c>
      <c r="BA341" s="98" t="str">
        <f>VLOOKUP(B341,Classification!A:D,4,0)</f>
        <v>Orexin</v>
      </c>
      <c r="BB341" s="36" t="b">
        <f t="shared" ref="BB341" si="2964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2965">_xlfn.AGGREGATE(9,6,CH341:CS341)-_xlfn.AGGREGATE(9,6,BV341:CG341)+12</f>
        <v>256</v>
      </c>
      <c r="BD341" s="40" t="s">
        <v>23</v>
      </c>
      <c r="BE341" s="9" t="s">
        <v>1368</v>
      </c>
      <c r="BF341" s="119">
        <v>2.66</v>
      </c>
      <c r="BG341" s="51" t="s">
        <v>1275</v>
      </c>
      <c r="BH341" s="51" t="s">
        <v>1275</v>
      </c>
      <c r="BJ341" s="111" t="s">
        <v>1281</v>
      </c>
      <c r="BK341" s="112" t="s">
        <v>1281</v>
      </c>
      <c r="BL341" s="112" t="s">
        <v>1281</v>
      </c>
      <c r="BM341" s="112" t="s">
        <v>1281</v>
      </c>
      <c r="BN341" s="112" t="s">
        <v>1281</v>
      </c>
      <c r="BO341" s="112" t="s">
        <v>1281</v>
      </c>
      <c r="BP341" s="112" t="s">
        <v>1281</v>
      </c>
      <c r="BQ341" s="112" t="s">
        <v>1281</v>
      </c>
      <c r="BR341" s="112" t="s">
        <v>1281</v>
      </c>
      <c r="BS341" s="112" t="s">
        <v>1281</v>
      </c>
      <c r="BT341" s="112" t="s">
        <v>1281</v>
      </c>
      <c r="BU341" s="112" t="s">
        <v>1281</v>
      </c>
      <c r="BV341" s="111">
        <f t="shared" ref="BV341" si="2966">E341</f>
        <v>45</v>
      </c>
      <c r="BW341" s="113">
        <f t="shared" ref="BW341" si="2967">I341</f>
        <v>75</v>
      </c>
      <c r="BX341" s="114">
        <f t="shared" ref="BX341" si="2968">M341</f>
        <v>79</v>
      </c>
      <c r="BY341" s="113">
        <f t="shared" ref="BY341" si="2969">Q341</f>
        <v>111</v>
      </c>
      <c r="BZ341" s="114">
        <f t="shared" ref="BZ341" si="2970">U341</f>
        <v>115</v>
      </c>
      <c r="CA341" s="113" t="str">
        <f t="shared" ref="CA341" si="2971">Y341</f>
        <v>-</v>
      </c>
      <c r="CB341" s="114">
        <f t="shared" ref="CB341" si="2972">AC341</f>
        <v>157</v>
      </c>
      <c r="CC341" s="113">
        <f t="shared" ref="CC341" si="2973">AG341</f>
        <v>202</v>
      </c>
      <c r="CD341" s="114">
        <f t="shared" ref="CD341" si="2974">AK341</f>
        <v>210</v>
      </c>
      <c r="CE341" s="113">
        <f t="shared" ref="CE341" si="2975">AO341</f>
        <v>286</v>
      </c>
      <c r="CF341" s="114">
        <f t="shared" ref="CF341" si="2976">AS341</f>
        <v>332</v>
      </c>
      <c r="CG341" s="113">
        <f t="shared" ref="CG341" si="2977">AW341</f>
        <v>362</v>
      </c>
      <c r="CH341" s="111">
        <f t="shared" ref="CH341" si="2978">G341</f>
        <v>74</v>
      </c>
      <c r="CI341" s="113">
        <f t="shared" ref="CI341" si="2979">K341</f>
        <v>78</v>
      </c>
      <c r="CJ341" s="114">
        <f t="shared" ref="CJ341" si="2980">O341</f>
        <v>110</v>
      </c>
      <c r="CK341" s="114">
        <f t="shared" ref="CK341" si="2981">S341</f>
        <v>114</v>
      </c>
      <c r="CL341" s="114">
        <f t="shared" ref="CL341" si="2982">W341</f>
        <v>150</v>
      </c>
      <c r="CM341" s="114" t="str">
        <f t="shared" ref="CM341" si="2983">AA341</f>
        <v>-</v>
      </c>
      <c r="CN341" s="114">
        <f t="shared" ref="CN341" si="2984">AE341</f>
        <v>183</v>
      </c>
      <c r="CO341" s="114">
        <f t="shared" ref="CO341" si="2985">AI341</f>
        <v>204</v>
      </c>
      <c r="CP341" s="114">
        <f t="shared" ref="CP341" si="2986">AM341</f>
        <v>243</v>
      </c>
      <c r="CQ341" s="114">
        <f t="shared" ref="CQ341" si="2987">AQ341</f>
        <v>324</v>
      </c>
      <c r="CR341" s="114">
        <f t="shared" ref="CR341" si="2988">AU341</f>
        <v>361</v>
      </c>
      <c r="CS341" s="114">
        <f t="shared" ref="CS341" si="2989">AY341</f>
        <v>377</v>
      </c>
      <c r="CT341" s="109">
        <f t="shared" ref="CT341" si="2990">M341-K341</f>
        <v>1</v>
      </c>
      <c r="AMP341" s="40"/>
    </row>
    <row r="342" spans="1:1030" s="12" customFormat="1" x14ac:dyDescent="0.2">
      <c r="A342" s="9" t="str">
        <f t="shared" ref="A342" si="2991">CONCATENATE(B342,"_",C342)</f>
        <v>ox1r_human_6TOS</v>
      </c>
      <c r="B342" s="9" t="s">
        <v>1168</v>
      </c>
      <c r="C342" s="9" t="s">
        <v>1629</v>
      </c>
      <c r="D342" s="9" t="str">
        <f>IFERROR(MID(VLOOKUP($B342,Seqs!$A:$B,2,0),E342,1),"")</f>
        <v>Y</v>
      </c>
      <c r="E342" s="9">
        <v>45</v>
      </c>
      <c r="F342" s="9" t="str">
        <f>IFERROR(MID(VLOOKUP($B342,Seqs!$A:$B,2,0),G342,1),"")</f>
        <v>N</v>
      </c>
      <c r="G342" s="9">
        <v>74</v>
      </c>
      <c r="H342" s="9" t="str">
        <f>IFERROR(MID(VLOOKUP($B342,Seqs!$A:$B,2,0),I342,1),"")</f>
        <v>H</v>
      </c>
      <c r="I342" s="109">
        <v>75</v>
      </c>
      <c r="J342" s="9" t="str">
        <f>IFERROR(MID(VLOOKUP($B342,Seqs!$A:$B,2,0),K342,1),"")</f>
        <v>R</v>
      </c>
      <c r="K342" s="109">
        <v>78</v>
      </c>
      <c r="L342" s="9" t="str">
        <f>IFERROR(MID(VLOOKUP($B342,Seqs!$A:$B,2,0),M342,1),"")</f>
        <v>T</v>
      </c>
      <c r="M342" s="9">
        <v>79</v>
      </c>
      <c r="N342" s="9" t="str">
        <f>IFERROR(MID(VLOOKUP($B342,Seqs!$A:$B,2,0),O342,1),"")</f>
        <v>E</v>
      </c>
      <c r="O342" s="9">
        <v>110</v>
      </c>
      <c r="P342" s="9" t="str">
        <f>IFERROR(MID(VLOOKUP($B342,Seqs!$A:$B,2,0),Q342,1),"")</f>
        <v>S</v>
      </c>
      <c r="Q342" s="9">
        <v>111</v>
      </c>
      <c r="R342" s="9" t="str">
        <f>IFERROR(MID(VLOOKUP($B342,Seqs!$A:$B,2,0),S342,1),"")</f>
        <v>F</v>
      </c>
      <c r="S342" s="9">
        <v>114</v>
      </c>
      <c r="T342" s="9" t="str">
        <f>IFERROR(MID(VLOOKUP($B342,Seqs!$A:$B,2,0),U342,1),"")</f>
        <v>G</v>
      </c>
      <c r="U342" s="9">
        <v>115</v>
      </c>
      <c r="V342" s="9" t="str">
        <f>IFERROR(MID(VLOOKUP($B342,Seqs!$A:$B,2,0),W342,1),"")</f>
        <v>H</v>
      </c>
      <c r="W342" s="9">
        <v>150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T</v>
      </c>
      <c r="AC342" s="9">
        <v>157</v>
      </c>
      <c r="AD342" s="9" t="str">
        <f>IFERROR(MID(VLOOKUP($B342,Seqs!$A:$B,2,0),AE342,1),"")</f>
        <v>M</v>
      </c>
      <c r="AE342" s="9">
        <v>183</v>
      </c>
      <c r="AF342" s="9" t="str">
        <f>IFERROR(MID(VLOOKUP($B342,Seqs!$A:$B,2,0),AG342,1),"")</f>
        <v>C</v>
      </c>
      <c r="AG342" s="9">
        <v>202</v>
      </c>
      <c r="AH342" s="9" t="str">
        <f>IFERROR(MID(VLOOKUP($B342,Seqs!$A:$B,2,0),AI342,1),"")</f>
        <v>E</v>
      </c>
      <c r="AI342" s="9">
        <v>204</v>
      </c>
      <c r="AJ342" s="9" t="str">
        <f>IFERROR(MID(VLOOKUP($B342,Seqs!$A:$B,2,0),AK342,1),"")</f>
        <v>L</v>
      </c>
      <c r="AK342" s="9">
        <v>210</v>
      </c>
      <c r="AL342" s="9" t="str">
        <f>IFERROR(MID(VLOOKUP($B342,Seqs!$A:$B,2,0),AM342,1),"")</f>
        <v>W</v>
      </c>
      <c r="AM342" s="9">
        <v>243</v>
      </c>
      <c r="AN342" s="9" t="str">
        <f>IFERROR(MID(VLOOKUP($B342,Seqs!$A:$B,2,0),AO342,1),"")</f>
        <v>E</v>
      </c>
      <c r="AO342" s="9">
        <v>286</v>
      </c>
      <c r="AP342" s="9" t="str">
        <f>IFERROR(MID(VLOOKUP($B342,Seqs!$A:$B,2,0),AQ342,1),"")</f>
        <v>G</v>
      </c>
      <c r="AQ342" s="9">
        <v>325</v>
      </c>
      <c r="AR342" s="9" t="str">
        <f>IFERROR(MID(VLOOKUP($B342,Seqs!$A:$B,2,0),AS342,1),"")</f>
        <v>D</v>
      </c>
      <c r="AS342" s="9">
        <v>332</v>
      </c>
      <c r="AT342" s="9" t="str">
        <f>IFERROR(MID(VLOOKUP($B342,Seqs!$A:$B,2,0),AU342,1),"")</f>
        <v>L</v>
      </c>
      <c r="AU342" s="9">
        <v>361</v>
      </c>
      <c r="AV342" s="9" t="str">
        <f>IFERROR(MID(VLOOKUP($B342,Seqs!$A:$B,2,0),AW342,1),"")</f>
        <v>S</v>
      </c>
      <c r="AW342" s="9">
        <v>362</v>
      </c>
      <c r="AX342" s="9" t="str">
        <f>IFERROR(MID(VLOOKUP($B342,Seqs!$A:$B,2,0),AY342,1),"")</f>
        <v>L</v>
      </c>
      <c r="AY342" s="9">
        <v>377</v>
      </c>
      <c r="AZ342" s="110" t="str">
        <f>VLOOKUP(B342,Classification!A:D,2,0)</f>
        <v>A</v>
      </c>
      <c r="BA342" s="98" t="str">
        <f>VLOOKUP(B342,Classification!A:D,4,0)</f>
        <v>Orexin</v>
      </c>
      <c r="BB342" s="36" t="b">
        <f t="shared" ref="BB342" si="2992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2993">_xlfn.AGGREGATE(9,6,CH342:CS342)-_xlfn.AGGREGATE(9,6,BV342:CG342)+12</f>
        <v>257</v>
      </c>
      <c r="BD342" s="40" t="s">
        <v>23</v>
      </c>
      <c r="BE342" s="9" t="s">
        <v>1368</v>
      </c>
      <c r="BF342" s="119">
        <v>2.13</v>
      </c>
      <c r="BG342" s="51" t="s">
        <v>1275</v>
      </c>
      <c r="BH342" s="51" t="s">
        <v>1275</v>
      </c>
      <c r="BJ342" s="111" t="s">
        <v>1281</v>
      </c>
      <c r="BK342" s="112" t="s">
        <v>1281</v>
      </c>
      <c r="BL342" s="112" t="s">
        <v>1281</v>
      </c>
      <c r="BM342" s="112" t="s">
        <v>1281</v>
      </c>
      <c r="BN342" s="112" t="s">
        <v>1281</v>
      </c>
      <c r="BO342" s="112" t="s">
        <v>1281</v>
      </c>
      <c r="BP342" s="112" t="s">
        <v>1281</v>
      </c>
      <c r="BQ342" s="112" t="s">
        <v>1281</v>
      </c>
      <c r="BR342" s="112" t="s">
        <v>1281</v>
      </c>
      <c r="BS342" s="112" t="s">
        <v>1281</v>
      </c>
      <c r="BT342" s="112" t="s">
        <v>1281</v>
      </c>
      <c r="BU342" s="112" t="s">
        <v>1281</v>
      </c>
      <c r="BV342" s="111">
        <f t="shared" ref="BV342" si="2994">E342</f>
        <v>45</v>
      </c>
      <c r="BW342" s="113">
        <f t="shared" ref="BW342" si="2995">I342</f>
        <v>75</v>
      </c>
      <c r="BX342" s="114">
        <f t="shared" ref="BX342" si="2996">M342</f>
        <v>79</v>
      </c>
      <c r="BY342" s="113">
        <f t="shared" ref="BY342" si="2997">Q342</f>
        <v>111</v>
      </c>
      <c r="BZ342" s="114">
        <f t="shared" ref="BZ342" si="2998">U342</f>
        <v>115</v>
      </c>
      <c r="CA342" s="113" t="str">
        <f t="shared" ref="CA342" si="2999">Y342</f>
        <v>-</v>
      </c>
      <c r="CB342" s="114">
        <f t="shared" ref="CB342" si="3000">AC342</f>
        <v>157</v>
      </c>
      <c r="CC342" s="113">
        <f t="shared" ref="CC342" si="3001">AG342</f>
        <v>202</v>
      </c>
      <c r="CD342" s="114">
        <f t="shared" ref="CD342" si="3002">AK342</f>
        <v>210</v>
      </c>
      <c r="CE342" s="113">
        <f t="shared" ref="CE342" si="3003">AO342</f>
        <v>286</v>
      </c>
      <c r="CF342" s="114">
        <f t="shared" ref="CF342" si="3004">AS342</f>
        <v>332</v>
      </c>
      <c r="CG342" s="113">
        <f t="shared" ref="CG342" si="3005">AW342</f>
        <v>362</v>
      </c>
      <c r="CH342" s="111">
        <f t="shared" ref="CH342" si="3006">G342</f>
        <v>74</v>
      </c>
      <c r="CI342" s="113">
        <f t="shared" ref="CI342" si="3007">K342</f>
        <v>78</v>
      </c>
      <c r="CJ342" s="114">
        <f t="shared" ref="CJ342" si="3008">O342</f>
        <v>110</v>
      </c>
      <c r="CK342" s="114">
        <f t="shared" ref="CK342" si="3009">S342</f>
        <v>114</v>
      </c>
      <c r="CL342" s="114">
        <f t="shared" ref="CL342" si="3010">W342</f>
        <v>150</v>
      </c>
      <c r="CM342" s="114" t="str">
        <f t="shared" ref="CM342" si="3011">AA342</f>
        <v>-</v>
      </c>
      <c r="CN342" s="114">
        <f t="shared" ref="CN342" si="3012">AE342</f>
        <v>183</v>
      </c>
      <c r="CO342" s="114">
        <f t="shared" ref="CO342" si="3013">AI342</f>
        <v>204</v>
      </c>
      <c r="CP342" s="114">
        <f t="shared" ref="CP342" si="3014">AM342</f>
        <v>243</v>
      </c>
      <c r="CQ342" s="114">
        <f t="shared" ref="CQ342" si="3015">AQ342</f>
        <v>325</v>
      </c>
      <c r="CR342" s="114">
        <f t="shared" ref="CR342" si="3016">AU342</f>
        <v>361</v>
      </c>
      <c r="CS342" s="114">
        <f t="shared" ref="CS342" si="3017">AY342</f>
        <v>377</v>
      </c>
      <c r="CT342" s="109">
        <f t="shared" ref="CT342" si="3018">M342-K342</f>
        <v>1</v>
      </c>
      <c r="AMP342" s="40"/>
    </row>
    <row r="343" spans="1:1030" s="12" customFormat="1" x14ac:dyDescent="0.2">
      <c r="A343" s="9" t="str">
        <f t="shared" ref="A343" si="3019">CONCATENATE(B343,"_",C343)</f>
        <v>ox1r_human_6TOT</v>
      </c>
      <c r="B343" s="9" t="s">
        <v>1168</v>
      </c>
      <c r="C343" s="9" t="s">
        <v>1630</v>
      </c>
      <c r="D343" s="9" t="str">
        <f>IFERROR(MID(VLOOKUP($B343,Seqs!$A:$B,2,0),E343,1),"")</f>
        <v>Y</v>
      </c>
      <c r="E343" s="9">
        <v>45</v>
      </c>
      <c r="F343" s="9" t="str">
        <f>IFERROR(MID(VLOOKUP($B343,Seqs!$A:$B,2,0),G343,1),"")</f>
        <v>N</v>
      </c>
      <c r="G343" s="9">
        <v>74</v>
      </c>
      <c r="H343" s="9" t="str">
        <f>IFERROR(MID(VLOOKUP($B343,Seqs!$A:$B,2,0),I343,1),"")</f>
        <v>H</v>
      </c>
      <c r="I343" s="109">
        <v>75</v>
      </c>
      <c r="J343" s="9" t="str">
        <f>IFERROR(MID(VLOOKUP($B343,Seqs!$A:$B,2,0),K343,1),"")</f>
        <v>R</v>
      </c>
      <c r="K343" s="109">
        <v>78</v>
      </c>
      <c r="L343" s="9" t="str">
        <f>IFERROR(MID(VLOOKUP($B343,Seqs!$A:$B,2,0),M343,1),"")</f>
        <v>T</v>
      </c>
      <c r="M343" s="9">
        <v>79</v>
      </c>
      <c r="N343" s="9" t="str">
        <f>IFERROR(MID(VLOOKUP($B343,Seqs!$A:$B,2,0),O343,1),"")</f>
        <v>E</v>
      </c>
      <c r="O343" s="9">
        <v>110</v>
      </c>
      <c r="P343" s="9" t="str">
        <f>IFERROR(MID(VLOOKUP($B343,Seqs!$A:$B,2,0),Q343,1),"")</f>
        <v>S</v>
      </c>
      <c r="Q343" s="9">
        <v>111</v>
      </c>
      <c r="R343" s="9" t="str">
        <f>IFERROR(MID(VLOOKUP($B343,Seqs!$A:$B,2,0),S343,1),"")</f>
        <v>F</v>
      </c>
      <c r="S343" s="9">
        <v>114</v>
      </c>
      <c r="T343" s="9" t="str">
        <f>IFERROR(MID(VLOOKUP($B343,Seqs!$A:$B,2,0),U343,1),"")</f>
        <v>G</v>
      </c>
      <c r="U343" s="9">
        <v>115</v>
      </c>
      <c r="V343" s="9" t="str">
        <f>IFERROR(MID(VLOOKUP($B343,Seqs!$A:$B,2,0),W343,1),"")</f>
        <v>C</v>
      </c>
      <c r="W343" s="9">
        <v>149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T</v>
      </c>
      <c r="AC343" s="9">
        <v>157</v>
      </c>
      <c r="AD343" s="9" t="str">
        <f>IFERROR(MID(VLOOKUP($B343,Seqs!$A:$B,2,0),AE343,1),"")</f>
        <v>M</v>
      </c>
      <c r="AE343" s="9">
        <v>183</v>
      </c>
      <c r="AF343" s="9" t="str">
        <f>IFERROR(MID(VLOOKUP($B343,Seqs!$A:$B,2,0),AG343,1),"")</f>
        <v>C</v>
      </c>
      <c r="AG343" s="9">
        <v>202</v>
      </c>
      <c r="AH343" s="9" t="str">
        <f>IFERROR(MID(VLOOKUP($B343,Seqs!$A:$B,2,0),AI343,1),"")</f>
        <v>E</v>
      </c>
      <c r="AI343" s="9">
        <v>204</v>
      </c>
      <c r="AJ343" s="9" t="str">
        <f>IFERROR(MID(VLOOKUP($B343,Seqs!$A:$B,2,0),AK343,1),"")</f>
        <v>L</v>
      </c>
      <c r="AK343" s="9">
        <v>210</v>
      </c>
      <c r="AL343" s="9" t="str">
        <f>IFERROR(MID(VLOOKUP($B343,Seqs!$A:$B,2,0),AM343,1),"")</f>
        <v>W</v>
      </c>
      <c r="AM343" s="9">
        <v>243</v>
      </c>
      <c r="AN343" s="9" t="str">
        <f>IFERROR(MID(VLOOKUP($B343,Seqs!$A:$B,2,0),AO343,1),"")</f>
        <v>E</v>
      </c>
      <c r="AO343" s="9">
        <v>286</v>
      </c>
      <c r="AP343" s="9" t="str">
        <f>IFERROR(MID(VLOOKUP($B343,Seqs!$A:$B,2,0),AQ343,1),"")</f>
        <v>V</v>
      </c>
      <c r="AQ343" s="9">
        <v>323</v>
      </c>
      <c r="AR343" s="9" t="str">
        <f>IFERROR(MID(VLOOKUP($B343,Seqs!$A:$B,2,0),AS343,1),"")</f>
        <v>D</v>
      </c>
      <c r="AS343" s="9">
        <v>332</v>
      </c>
      <c r="AT343" s="9" t="str">
        <f>IFERROR(MID(VLOOKUP($B343,Seqs!$A:$B,2,0),AU343,1),"")</f>
        <v>L</v>
      </c>
      <c r="AU343" s="9">
        <v>361</v>
      </c>
      <c r="AV343" s="9" t="str">
        <f>IFERROR(MID(VLOOKUP($B343,Seqs!$A:$B,2,0),AW343,1),"")</f>
        <v>S</v>
      </c>
      <c r="AW343" s="9">
        <v>362</v>
      </c>
      <c r="AX343" s="9" t="str">
        <f>IFERROR(MID(VLOOKUP($B343,Seqs!$A:$B,2,0),AY343,1),"")</f>
        <v>L</v>
      </c>
      <c r="AY343" s="9">
        <v>377</v>
      </c>
      <c r="AZ343" s="110" t="str">
        <f>VLOOKUP(B343,Classification!A:D,2,0)</f>
        <v>A</v>
      </c>
      <c r="BA343" s="98" t="str">
        <f>VLOOKUP(B343,Classification!A:D,4,0)</f>
        <v>Orexin</v>
      </c>
      <c r="BB343" s="36" t="b">
        <f t="shared" ref="BB343" si="3020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3021">_xlfn.AGGREGATE(9,6,CH343:CS343)-_xlfn.AGGREGATE(9,6,BV343:CG343)+12</f>
        <v>254</v>
      </c>
      <c r="BD343" s="40" t="s">
        <v>23</v>
      </c>
      <c r="BE343" s="9" t="s">
        <v>1368</v>
      </c>
      <c r="BF343" s="119">
        <v>2.2200000000000002</v>
      </c>
      <c r="BG343" s="51" t="s">
        <v>1275</v>
      </c>
      <c r="BH343" s="51" t="s">
        <v>1275</v>
      </c>
      <c r="BJ343" s="111" t="s">
        <v>1281</v>
      </c>
      <c r="BK343" s="112" t="s">
        <v>1281</v>
      </c>
      <c r="BL343" s="112" t="s">
        <v>1281</v>
      </c>
      <c r="BM343" s="112" t="s">
        <v>1281</v>
      </c>
      <c r="BN343" s="112" t="s">
        <v>1281</v>
      </c>
      <c r="BO343" s="112" t="s">
        <v>1281</v>
      </c>
      <c r="BP343" s="112" t="s">
        <v>1281</v>
      </c>
      <c r="BQ343" s="112" t="s">
        <v>1281</v>
      </c>
      <c r="BR343" s="112" t="s">
        <v>1281</v>
      </c>
      <c r="BS343" s="112" t="s">
        <v>1281</v>
      </c>
      <c r="BT343" s="112" t="s">
        <v>1281</v>
      </c>
      <c r="BU343" s="112" t="s">
        <v>1281</v>
      </c>
      <c r="BV343" s="111">
        <f t="shared" ref="BV343" si="3022">E343</f>
        <v>45</v>
      </c>
      <c r="BW343" s="113">
        <f t="shared" ref="BW343" si="3023">I343</f>
        <v>75</v>
      </c>
      <c r="BX343" s="114">
        <f t="shared" ref="BX343" si="3024">M343</f>
        <v>79</v>
      </c>
      <c r="BY343" s="113">
        <f t="shared" ref="BY343" si="3025">Q343</f>
        <v>111</v>
      </c>
      <c r="BZ343" s="114">
        <f t="shared" ref="BZ343" si="3026">U343</f>
        <v>115</v>
      </c>
      <c r="CA343" s="113" t="str">
        <f t="shared" ref="CA343" si="3027">Y343</f>
        <v>-</v>
      </c>
      <c r="CB343" s="114">
        <f t="shared" ref="CB343" si="3028">AC343</f>
        <v>157</v>
      </c>
      <c r="CC343" s="113">
        <f t="shared" ref="CC343" si="3029">AG343</f>
        <v>202</v>
      </c>
      <c r="CD343" s="114">
        <f t="shared" ref="CD343" si="3030">AK343</f>
        <v>210</v>
      </c>
      <c r="CE343" s="113">
        <f t="shared" ref="CE343" si="3031">AO343</f>
        <v>286</v>
      </c>
      <c r="CF343" s="114">
        <f t="shared" ref="CF343" si="3032">AS343</f>
        <v>332</v>
      </c>
      <c r="CG343" s="113">
        <f t="shared" ref="CG343" si="3033">AW343</f>
        <v>362</v>
      </c>
      <c r="CH343" s="111">
        <f t="shared" ref="CH343" si="3034">G343</f>
        <v>74</v>
      </c>
      <c r="CI343" s="113">
        <f t="shared" ref="CI343" si="3035">K343</f>
        <v>78</v>
      </c>
      <c r="CJ343" s="114">
        <f t="shared" ref="CJ343" si="3036">O343</f>
        <v>110</v>
      </c>
      <c r="CK343" s="114">
        <f t="shared" ref="CK343" si="3037">S343</f>
        <v>114</v>
      </c>
      <c r="CL343" s="114">
        <f t="shared" ref="CL343" si="3038">W343</f>
        <v>149</v>
      </c>
      <c r="CM343" s="114" t="str">
        <f t="shared" ref="CM343" si="3039">AA343</f>
        <v>-</v>
      </c>
      <c r="CN343" s="114">
        <f t="shared" ref="CN343" si="3040">AE343</f>
        <v>183</v>
      </c>
      <c r="CO343" s="114">
        <f t="shared" ref="CO343" si="3041">AI343</f>
        <v>204</v>
      </c>
      <c r="CP343" s="114">
        <f t="shared" ref="CP343" si="3042">AM343</f>
        <v>243</v>
      </c>
      <c r="CQ343" s="114">
        <f t="shared" ref="CQ343" si="3043">AQ343</f>
        <v>323</v>
      </c>
      <c r="CR343" s="114">
        <f t="shared" ref="CR343" si="3044">AU343</f>
        <v>361</v>
      </c>
      <c r="CS343" s="114">
        <f t="shared" ref="CS343" si="3045">AY343</f>
        <v>377</v>
      </c>
      <c r="CT343" s="109">
        <f t="shared" ref="CT343" si="3046">M343-K343</f>
        <v>1</v>
      </c>
      <c r="AMP343" s="40"/>
    </row>
    <row r="344" spans="1:1030" x14ac:dyDescent="0.2">
      <c r="A344" s="3" t="str">
        <f t="shared" si="2541"/>
        <v>ox2r_human__wt</v>
      </c>
      <c r="B344" s="3" t="s">
        <v>1169</v>
      </c>
      <c r="C344" s="3" t="s">
        <v>100</v>
      </c>
      <c r="D344" s="3" t="str">
        <f>IFERROR(MID(VLOOKUP($B344,Seqs!$A:$B,2,0),E344,1),"")</f>
        <v>Y</v>
      </c>
      <c r="E344" s="3">
        <v>53</v>
      </c>
      <c r="F344" s="3" t="str">
        <f>IFERROR(MID(VLOOKUP($B344,Seqs!$A:$B,2,0),G344,1),"")</f>
        <v>N</v>
      </c>
      <c r="G344" s="3">
        <v>82</v>
      </c>
      <c r="H344" s="3" t="str">
        <f>IFERROR(MID(VLOOKUP($B344,Seqs!$A:$B,2,0),I344,1),"")</f>
        <v>H</v>
      </c>
      <c r="I344" s="23">
        <v>83</v>
      </c>
      <c r="J344" s="3" t="str">
        <f>IFERROR(MID(VLOOKUP($B344,Seqs!$A:$B,2,0),K344,1),"")</f>
        <v>R</v>
      </c>
      <c r="K344" s="23">
        <v>86</v>
      </c>
      <c r="L344" s="3" t="str">
        <f>IFERROR(MID(VLOOKUP($B344,Seqs!$A:$B,2,0),M344,1),"")</f>
        <v>T</v>
      </c>
      <c r="M344" s="3">
        <v>87</v>
      </c>
      <c r="N344" s="3" t="str">
        <f>IFERROR(MID(VLOOKUP($B344,Seqs!$A:$B,2,0),O344,1),"")</f>
        <v>E</v>
      </c>
      <c r="O344" s="105">
        <v>118</v>
      </c>
      <c r="P344" s="3" t="str">
        <f>IFERROR(MID(VLOOKUP($B344,Seqs!$A:$B,2,0),Q344,1),"")</f>
        <v>T</v>
      </c>
      <c r="Q344" s="3">
        <v>119</v>
      </c>
      <c r="R344" s="3" t="str">
        <f>IFERROR(MID(VLOOKUP($B344,Seqs!$A:$B,2,0),S344,1),"")</f>
        <v>F</v>
      </c>
      <c r="S344" s="3">
        <v>122</v>
      </c>
      <c r="T344" s="3" t="str">
        <f>IFERROR(MID(VLOOKUP($B344,Seqs!$A:$B,2,0),U344,1),"")</f>
        <v>G</v>
      </c>
      <c r="U344" s="3">
        <v>123</v>
      </c>
      <c r="V344" s="3" t="str">
        <f>IFERROR(MID(VLOOKUP($B344,Seqs!$A:$B,2,0),W344,1),"")</f>
        <v>H</v>
      </c>
      <c r="W344" s="3">
        <v>158</v>
      </c>
      <c r="X344" s="3" t="str">
        <f>IFERROR(MID(VLOOKUP($B344,Seqs!$A:$B,2,0),Y344,1),"")</f>
        <v>P</v>
      </c>
      <c r="Y344" s="3">
        <v>159</v>
      </c>
      <c r="Z344" s="3" t="str">
        <f>IFERROR(MID(VLOOKUP($B344,Seqs!$A:$B,2,0),AA344,1),"")</f>
        <v>F</v>
      </c>
      <c r="AA344" s="73">
        <v>162</v>
      </c>
      <c r="AB344" s="3" t="str">
        <f>IFERROR(MID(VLOOKUP($B344,Seqs!$A:$B,2,0),AC344,1),"")</f>
        <v>T</v>
      </c>
      <c r="AC344" s="9">
        <v>165</v>
      </c>
      <c r="AD344" s="3" t="str">
        <f>IFERROR(MID(VLOOKUP($B344,Seqs!$A:$B,2,0),AE344,1),"")</f>
        <v>M</v>
      </c>
      <c r="AE344" s="3">
        <v>191</v>
      </c>
      <c r="AF344" s="3" t="str">
        <f>IFERROR(MID(VLOOKUP($B344,Seqs!$A:$B,2,0),AG344,1),"")</f>
        <v>C</v>
      </c>
      <c r="AG344" s="3">
        <v>210</v>
      </c>
      <c r="AH344" s="3" t="str">
        <f>IFERROR(MID(VLOOKUP($B344,Seqs!$A:$B,2,0),AI344,1),"")</f>
        <v>E</v>
      </c>
      <c r="AI344" s="3">
        <v>212</v>
      </c>
      <c r="AJ344" s="3" t="str">
        <f>IFERROR(MID(VLOOKUP($B344,Seqs!$A:$B,2,0),AK344,1),"")</f>
        <v>I</v>
      </c>
      <c r="AK344" s="105">
        <v>218</v>
      </c>
      <c r="AL344" s="3" t="str">
        <f>IFERROR(MID(VLOOKUP($B344,Seqs!$A:$B,2,0),AM344,1),"")</f>
        <v>P</v>
      </c>
      <c r="AM344" s="3">
        <v>256</v>
      </c>
      <c r="AN344" s="3" t="str">
        <f>IFERROR(MID(VLOOKUP($B344,Seqs!$A:$B,2,0),AO344,1),"")</f>
        <v>V</v>
      </c>
      <c r="AO344" s="3">
        <v>289</v>
      </c>
      <c r="AP344" s="3" t="str">
        <f>IFERROR(MID(VLOOKUP($B344,Seqs!$A:$B,2,0),AQ344,1),"")</f>
        <v>F</v>
      </c>
      <c r="AQ344" s="3">
        <v>330</v>
      </c>
      <c r="AR344" s="3" t="str">
        <f>IFERROR(MID(VLOOKUP($B344,Seqs!$A:$B,2,0),AS344,1),"")</f>
        <v>D</v>
      </c>
      <c r="AS344" s="105">
        <v>338</v>
      </c>
      <c r="AT344" s="3" t="str">
        <f>IFERROR(MID(VLOOKUP($B344,Seqs!$A:$B,2,0),AU344,1),"")</f>
        <v>L</v>
      </c>
      <c r="AU344" s="3">
        <v>367</v>
      </c>
      <c r="AV344" s="3" t="str">
        <f>IFERROR(MID(VLOOKUP($B344,Seqs!$A:$B,2,0),AW344,1),"")</f>
        <v>S</v>
      </c>
      <c r="AW344" s="3">
        <v>368</v>
      </c>
      <c r="AX344" s="3" t="str">
        <f>IFERROR(MID(VLOOKUP($B344,Seqs!$A:$B,2,0),AY344,1),"")</f>
        <v>L</v>
      </c>
      <c r="AY344" s="105">
        <v>384</v>
      </c>
      <c r="AZ344" s="77" t="str">
        <f>VLOOKUP(B344,Classification!A:D,2,0)</f>
        <v>A</v>
      </c>
      <c r="BA344" s="94" t="str">
        <f>VLOOKUP(B344,Classification!A:D,4,0)</f>
        <v>Orexin</v>
      </c>
      <c r="BB344" s="27" t="b">
        <f t="shared" si="2542"/>
        <v>1</v>
      </c>
      <c r="BC344" s="23">
        <f t="shared" si="2515"/>
        <v>268</v>
      </c>
      <c r="BD344" s="56" t="s">
        <v>23</v>
      </c>
      <c r="BE344" s="3" t="s">
        <v>23</v>
      </c>
      <c r="BF344" s="118" t="s">
        <v>23</v>
      </c>
      <c r="BG344" s="49" t="s">
        <v>1366</v>
      </c>
      <c r="BH344" s="49" t="s">
        <v>1371</v>
      </c>
      <c r="BI344" s="1"/>
      <c r="BJ344" s="70" t="s">
        <v>1281</v>
      </c>
      <c r="BK344" s="57" t="s">
        <v>1281</v>
      </c>
      <c r="BL344" s="57" t="s">
        <v>1281</v>
      </c>
      <c r="BM344" s="57" t="s">
        <v>1281</v>
      </c>
      <c r="BN344" s="57" t="s">
        <v>1281</v>
      </c>
      <c r="BO344" s="57" t="s">
        <v>1281</v>
      </c>
      <c r="BP344" s="57" t="s">
        <v>1281</v>
      </c>
      <c r="BQ344" s="57" t="s">
        <v>1281</v>
      </c>
      <c r="BR344" s="57" t="s">
        <v>1281</v>
      </c>
      <c r="BS344" s="57" t="s">
        <v>1281</v>
      </c>
      <c r="BT344" s="57" t="s">
        <v>1281</v>
      </c>
      <c r="BU344" s="57" t="s">
        <v>1281</v>
      </c>
      <c r="BV344" s="70">
        <f t="shared" si="2516"/>
        <v>53</v>
      </c>
      <c r="BW344" s="71">
        <f t="shared" si="2517"/>
        <v>83</v>
      </c>
      <c r="BX344" s="72">
        <f t="shared" si="2518"/>
        <v>87</v>
      </c>
      <c r="BY344" s="71">
        <f t="shared" si="2519"/>
        <v>119</v>
      </c>
      <c r="BZ344" s="72">
        <f t="shared" si="2520"/>
        <v>123</v>
      </c>
      <c r="CA344" s="71">
        <f t="shared" si="2521"/>
        <v>159</v>
      </c>
      <c r="CB344" s="72">
        <f t="shared" si="2522"/>
        <v>165</v>
      </c>
      <c r="CC344" s="71">
        <f t="shared" si="2523"/>
        <v>210</v>
      </c>
      <c r="CD344" s="72">
        <f t="shared" si="2524"/>
        <v>218</v>
      </c>
      <c r="CE344" s="71">
        <f t="shared" si="2525"/>
        <v>289</v>
      </c>
      <c r="CF344" s="72">
        <f t="shared" si="2526"/>
        <v>338</v>
      </c>
      <c r="CG344" s="71">
        <f t="shared" si="2527"/>
        <v>368</v>
      </c>
      <c r="CH344" s="70">
        <f t="shared" si="2528"/>
        <v>82</v>
      </c>
      <c r="CI344" s="71">
        <f t="shared" si="2529"/>
        <v>86</v>
      </c>
      <c r="CJ344" s="72">
        <f t="shared" si="2530"/>
        <v>118</v>
      </c>
      <c r="CK344" s="72">
        <f t="shared" si="2531"/>
        <v>122</v>
      </c>
      <c r="CL344" s="72">
        <f t="shared" si="2532"/>
        <v>158</v>
      </c>
      <c r="CM344" s="72">
        <f t="shared" si="2533"/>
        <v>162</v>
      </c>
      <c r="CN344" s="72">
        <f t="shared" si="2534"/>
        <v>191</v>
      </c>
      <c r="CO344" s="72">
        <f t="shared" si="2535"/>
        <v>212</v>
      </c>
      <c r="CP344" s="72">
        <f t="shared" si="2536"/>
        <v>256</v>
      </c>
      <c r="CQ344" s="72">
        <f t="shared" si="2537"/>
        <v>330</v>
      </c>
      <c r="CR344" s="72">
        <f t="shared" si="2538"/>
        <v>367</v>
      </c>
      <c r="CS344" s="72">
        <f t="shared" si="2539"/>
        <v>384</v>
      </c>
      <c r="CT344" s="23">
        <f t="shared" si="254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2541"/>
        <v>ox2r_human_4S0V</v>
      </c>
      <c r="B345" s="3" t="s">
        <v>1169</v>
      </c>
      <c r="C345" s="3" t="s">
        <v>92</v>
      </c>
      <c r="D345" s="3" t="str">
        <f>IFERROR(MID(VLOOKUP($B345,Seqs!$A:$B,2,0),E345,1),"")</f>
        <v>Y</v>
      </c>
      <c r="E345" s="3">
        <v>53</v>
      </c>
      <c r="F345" s="3" t="str">
        <f>IFERROR(MID(VLOOKUP($B345,Seqs!$A:$B,2,0),G345,1),"")</f>
        <v>N</v>
      </c>
      <c r="G345" s="3">
        <v>82</v>
      </c>
      <c r="H345" s="3" t="str">
        <f>IFERROR(MID(VLOOKUP($B345,Seqs!$A:$B,2,0),I345,1),"")</f>
        <v>H</v>
      </c>
      <c r="I345" s="23">
        <v>83</v>
      </c>
      <c r="J345" s="3" t="str">
        <f>IFERROR(MID(VLOOKUP($B345,Seqs!$A:$B,2,0),K345,1),"")</f>
        <v>R</v>
      </c>
      <c r="K345" s="23">
        <v>86</v>
      </c>
      <c r="L345" s="3" t="str">
        <f>IFERROR(MID(VLOOKUP($B345,Seqs!$A:$B,2,0),M345,1),"")</f>
        <v>T</v>
      </c>
      <c r="M345" s="3">
        <v>87</v>
      </c>
      <c r="N345" s="3" t="str">
        <f>IFERROR(MID(VLOOKUP($B345,Seqs!$A:$B,2,0),O345,1),"")</f>
        <v>E</v>
      </c>
      <c r="O345" s="105">
        <v>118</v>
      </c>
      <c r="P345" s="3" t="str">
        <f>IFERROR(MID(VLOOKUP($B345,Seqs!$A:$B,2,0),Q345,1),"")</f>
        <v>T</v>
      </c>
      <c r="Q345" s="3">
        <v>119</v>
      </c>
      <c r="R345" s="3" t="str">
        <f>IFERROR(MID(VLOOKUP($B345,Seqs!$A:$B,2,0),S345,1),"")</f>
        <v>F</v>
      </c>
      <c r="S345" s="3">
        <v>122</v>
      </c>
      <c r="T345" s="3" t="str">
        <f>IFERROR(MID(VLOOKUP($B345,Seqs!$A:$B,2,0),U345,1),"")</f>
        <v>G</v>
      </c>
      <c r="U345" s="3">
        <v>123</v>
      </c>
      <c r="V345" s="3" t="str">
        <f>IFERROR(MID(VLOOKUP($B345,Seqs!$A:$B,2,0),W345,1),"")</f>
        <v>H</v>
      </c>
      <c r="W345" s="3">
        <v>158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9">
        <v>165</v>
      </c>
      <c r="AD345" s="3" t="str">
        <f>IFERROR(MID(VLOOKUP($B345,Seqs!$A:$B,2,0),AE345,1),"")</f>
        <v>M</v>
      </c>
      <c r="AE345" s="3">
        <v>191</v>
      </c>
      <c r="AF345" s="3" t="str">
        <f>IFERROR(MID(VLOOKUP($B345,Seqs!$A:$B,2,0),AG345,1),"")</f>
        <v>C</v>
      </c>
      <c r="AG345" s="3">
        <v>210</v>
      </c>
      <c r="AH345" s="3" t="str">
        <f>IFERROR(MID(VLOOKUP($B345,Seqs!$A:$B,2,0),AI345,1),"")</f>
        <v>E</v>
      </c>
      <c r="AI345" s="3">
        <v>212</v>
      </c>
      <c r="AJ345" s="3" t="str">
        <f>IFERROR(MID(VLOOKUP($B345,Seqs!$A:$B,2,0),AK345,1),"")</f>
        <v>I</v>
      </c>
      <c r="AK345" s="105">
        <v>218</v>
      </c>
      <c r="AL345" s="3" t="str">
        <f>IFERROR(MID(VLOOKUP($B345,Seqs!$A:$B,2,0),AM345,1),"")</f>
        <v>C</v>
      </c>
      <c r="AM345" s="105">
        <v>252</v>
      </c>
      <c r="AN345" s="3" t="str">
        <f>IFERROR(MID(VLOOKUP($B345,Seqs!$A:$B,2,0),AO345,1),"")</f>
        <v>K</v>
      </c>
      <c r="AO345" s="3">
        <v>294</v>
      </c>
      <c r="AP345" s="3" t="str">
        <f>IFERROR(MID(VLOOKUP($B345,Seqs!$A:$B,2,0),AQ345,1),"")</f>
        <v>F</v>
      </c>
      <c r="AQ345" s="3">
        <v>330</v>
      </c>
      <c r="AR345" s="3" t="str">
        <f>IFERROR(MID(VLOOKUP($B345,Seqs!$A:$B,2,0),AS345,1),"")</f>
        <v>R</v>
      </c>
      <c r="AS345" s="3">
        <v>339</v>
      </c>
      <c r="AT345" s="3" t="str">
        <f>IFERROR(MID(VLOOKUP($B345,Seqs!$A:$B,2,0),AU345,1),"")</f>
        <v>L</v>
      </c>
      <c r="AU345" s="3">
        <v>367</v>
      </c>
      <c r="AV345" s="3" t="str">
        <f>IFERROR(MID(VLOOKUP($B345,Seqs!$A:$B,2,0),AW345,1),"")</f>
        <v>S</v>
      </c>
      <c r="AW345" s="3">
        <v>368</v>
      </c>
      <c r="AX345" s="3" t="str">
        <f>IFERROR(MID(VLOOKUP($B345,Seqs!$A:$B,2,0),AY345,1),"")</f>
        <v>F</v>
      </c>
      <c r="AY345" s="3">
        <v>379</v>
      </c>
      <c r="AZ345" s="77" t="str">
        <f>VLOOKUP(B345,Classification!A:D,2,0)</f>
        <v>A</v>
      </c>
      <c r="BA345" s="94" t="str">
        <f>VLOOKUP(B345,Classification!A:D,4,0)</f>
        <v>Orexin</v>
      </c>
      <c r="BB345" s="27" t="b">
        <f t="shared" si="2542"/>
        <v>1</v>
      </c>
      <c r="BC345" s="23">
        <f t="shared" si="2515"/>
        <v>250</v>
      </c>
      <c r="BD345" s="2" t="s">
        <v>23</v>
      </c>
      <c r="BE345" s="3" t="s">
        <v>1368</v>
      </c>
      <c r="BF345" s="118">
        <v>2.5</v>
      </c>
      <c r="BG345" s="49" t="s">
        <v>1371</v>
      </c>
      <c r="BH345" s="49" t="s">
        <v>1371</v>
      </c>
      <c r="BI345" s="1"/>
      <c r="BJ345" s="70" t="s">
        <v>1281</v>
      </c>
      <c r="BK345" s="57" t="s">
        <v>1281</v>
      </c>
      <c r="BL345" s="57" t="s">
        <v>1281</v>
      </c>
      <c r="BM345" s="57" t="s">
        <v>1281</v>
      </c>
      <c r="BN345" s="57" t="s">
        <v>1281</v>
      </c>
      <c r="BO345" s="57" t="s">
        <v>1281</v>
      </c>
      <c r="BP345" s="57" t="s">
        <v>1281</v>
      </c>
      <c r="BQ345" s="57" t="s">
        <v>1281</v>
      </c>
      <c r="BR345" s="57" t="s">
        <v>1281</v>
      </c>
      <c r="BS345" s="57" t="s">
        <v>1281</v>
      </c>
      <c r="BT345" s="57" t="s">
        <v>1281</v>
      </c>
      <c r="BU345" s="57" t="s">
        <v>1281</v>
      </c>
      <c r="BV345" s="70">
        <f t="shared" si="2516"/>
        <v>53</v>
      </c>
      <c r="BW345" s="71">
        <f t="shared" si="2517"/>
        <v>83</v>
      </c>
      <c r="BX345" s="72">
        <f t="shared" si="2518"/>
        <v>87</v>
      </c>
      <c r="BY345" s="71">
        <f t="shared" si="2519"/>
        <v>119</v>
      </c>
      <c r="BZ345" s="72">
        <f t="shared" si="2520"/>
        <v>123</v>
      </c>
      <c r="CA345" s="71" t="str">
        <f t="shared" si="2521"/>
        <v>-</v>
      </c>
      <c r="CB345" s="72">
        <f t="shared" si="2522"/>
        <v>165</v>
      </c>
      <c r="CC345" s="71">
        <f t="shared" si="2523"/>
        <v>210</v>
      </c>
      <c r="CD345" s="72">
        <f t="shared" si="2524"/>
        <v>218</v>
      </c>
      <c r="CE345" s="71">
        <f t="shared" si="2525"/>
        <v>294</v>
      </c>
      <c r="CF345" s="72">
        <f t="shared" si="2526"/>
        <v>339</v>
      </c>
      <c r="CG345" s="71">
        <f t="shared" si="2527"/>
        <v>368</v>
      </c>
      <c r="CH345" s="70">
        <f t="shared" si="2528"/>
        <v>82</v>
      </c>
      <c r="CI345" s="71">
        <f t="shared" si="2529"/>
        <v>86</v>
      </c>
      <c r="CJ345" s="72">
        <f t="shared" si="2530"/>
        <v>118</v>
      </c>
      <c r="CK345" s="72">
        <f t="shared" si="2531"/>
        <v>122</v>
      </c>
      <c r="CL345" s="72">
        <f t="shared" si="2532"/>
        <v>158</v>
      </c>
      <c r="CM345" s="72" t="str">
        <f t="shared" si="2533"/>
        <v>-</v>
      </c>
      <c r="CN345" s="72">
        <f t="shared" si="2534"/>
        <v>191</v>
      </c>
      <c r="CO345" s="72">
        <f t="shared" si="2535"/>
        <v>212</v>
      </c>
      <c r="CP345" s="72">
        <f t="shared" si="2536"/>
        <v>252</v>
      </c>
      <c r="CQ345" s="72">
        <f t="shared" si="2537"/>
        <v>330</v>
      </c>
      <c r="CR345" s="72">
        <f t="shared" si="2538"/>
        <v>367</v>
      </c>
      <c r="CS345" s="72">
        <f t="shared" si="2539"/>
        <v>379</v>
      </c>
      <c r="CT345" s="23">
        <f t="shared" si="254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>CONCATENATE(B346,"_",C346)</f>
        <v>ox2r_human_5WQC</v>
      </c>
      <c r="B346" s="3" t="s">
        <v>1169</v>
      </c>
      <c r="C346" s="3" t="s">
        <v>1441</v>
      </c>
      <c r="D346" s="3" t="str">
        <f>IFERROR(MID(VLOOKUP($B346,Seqs!$A:$B,2,0),E346,1),"")</f>
        <v>Y</v>
      </c>
      <c r="E346" s="3">
        <v>53</v>
      </c>
      <c r="F346" s="3" t="str">
        <f>IFERROR(MID(VLOOKUP($B346,Seqs!$A:$B,2,0),G346,1),"")</f>
        <v>N</v>
      </c>
      <c r="G346" s="3">
        <v>82</v>
      </c>
      <c r="H346" s="3" t="str">
        <f>IFERROR(MID(VLOOKUP($B346,Seqs!$A:$B,2,0),I346,1),"")</f>
        <v>H</v>
      </c>
      <c r="I346" s="23">
        <v>83</v>
      </c>
      <c r="J346" s="3" t="str">
        <f>IFERROR(MID(VLOOKUP($B346,Seqs!$A:$B,2,0),K346,1),"")</f>
        <v>R</v>
      </c>
      <c r="K346" s="23">
        <v>86</v>
      </c>
      <c r="L346" s="3" t="str">
        <f>IFERROR(MID(VLOOKUP($B346,Seqs!$A:$B,2,0),M346,1),"")</f>
        <v>T</v>
      </c>
      <c r="M346" s="3">
        <v>87</v>
      </c>
      <c r="N346" s="3" t="str">
        <f>IFERROR(MID(VLOOKUP($B346,Seqs!$A:$B,2,0),O346,1),"")</f>
        <v>E</v>
      </c>
      <c r="O346" s="3">
        <v>118</v>
      </c>
      <c r="P346" s="3" t="str">
        <f>IFERROR(MID(VLOOKUP($B346,Seqs!$A:$B,2,0),Q346,1),"")</f>
        <v>T</v>
      </c>
      <c r="Q346" s="3">
        <v>119</v>
      </c>
      <c r="R346" s="3" t="str">
        <f>IFERROR(MID(VLOOKUP($B346,Seqs!$A:$B,2,0),S346,1),"")</f>
        <v>F</v>
      </c>
      <c r="S346" s="3">
        <v>122</v>
      </c>
      <c r="T346" s="3" t="str">
        <f>IFERROR(MID(VLOOKUP($B346,Seqs!$A:$B,2,0),U346,1),"")</f>
        <v>G</v>
      </c>
      <c r="U346" s="3">
        <v>123</v>
      </c>
      <c r="V346" s="3" t="str">
        <f>IFERROR(MID(VLOOKUP($B346,Seqs!$A:$B,2,0),W346,1),"")</f>
        <v>H</v>
      </c>
      <c r="W346" s="3">
        <v>158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T</v>
      </c>
      <c r="AC346" s="3">
        <v>165</v>
      </c>
      <c r="AD346" s="3" t="str">
        <f>IFERROR(MID(VLOOKUP($B346,Seqs!$A:$B,2,0),AE346,1),"")</f>
        <v>M</v>
      </c>
      <c r="AE346" s="3">
        <v>191</v>
      </c>
      <c r="AF346" s="3" t="str">
        <f>IFERROR(MID(VLOOKUP($B346,Seqs!$A:$B,2,0),AG346,1),"")</f>
        <v>C</v>
      </c>
      <c r="AG346" s="3">
        <v>210</v>
      </c>
      <c r="AH346" s="3" t="str">
        <f>IFERROR(MID(VLOOKUP($B346,Seqs!$A:$B,2,0),AI346,1),"")</f>
        <v>E</v>
      </c>
      <c r="AI346" s="3">
        <v>212</v>
      </c>
      <c r="AJ346" s="3" t="str">
        <f>IFERROR(MID(VLOOKUP($B346,Seqs!$A:$B,2,0),AK346,1),"")</f>
        <v>I</v>
      </c>
      <c r="AK346" s="3">
        <v>218</v>
      </c>
      <c r="AL346" s="3" t="str">
        <f>IFERROR(MID(VLOOKUP($B346,Seqs!$A:$B,2,0),AM346,1),"")</f>
        <v>C</v>
      </c>
      <c r="AM346" s="3">
        <v>252</v>
      </c>
      <c r="AN346" s="3" t="str">
        <f>IFERROR(MID(VLOOKUP($B346,Seqs!$A:$B,2,0),AO346,1),"")</f>
        <v>K</v>
      </c>
      <c r="AO346" s="3">
        <v>294</v>
      </c>
      <c r="AP346" s="3" t="str">
        <f>IFERROR(MID(VLOOKUP($B346,Seqs!$A:$B,2,0),AQ346,1),"")</f>
        <v>F</v>
      </c>
      <c r="AQ346" s="3">
        <v>330</v>
      </c>
      <c r="AR346" s="3" t="str">
        <f>IFERROR(MID(VLOOKUP($B346,Seqs!$A:$B,2,0),AS346,1),"")</f>
        <v>D</v>
      </c>
      <c r="AS346" s="3">
        <v>338</v>
      </c>
      <c r="AT346" s="3" t="str">
        <f>IFERROR(MID(VLOOKUP($B346,Seqs!$A:$B,2,0),AU346,1),"")</f>
        <v>L</v>
      </c>
      <c r="AU346" s="3">
        <v>367</v>
      </c>
      <c r="AV346" s="3" t="str">
        <f>IFERROR(MID(VLOOKUP($B346,Seqs!$A:$B,2,0),AW346,1),"")</f>
        <v>S</v>
      </c>
      <c r="AW346" s="3">
        <v>368</v>
      </c>
      <c r="AX346" s="3" t="str">
        <f>IFERROR(MID(VLOOKUP($B346,Seqs!$A:$B,2,0),AY346,1),"")</f>
        <v>C</v>
      </c>
      <c r="AY346" s="3">
        <v>383</v>
      </c>
      <c r="AZ346" s="77" t="str">
        <f>VLOOKUP(B346,Classification!A:D,2,0)</f>
        <v>A</v>
      </c>
      <c r="BA346" s="94" t="str">
        <f>VLOOKUP(B346,Classification!A:D,4,0)</f>
        <v>Orexin</v>
      </c>
      <c r="BB346" s="27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255</v>
      </c>
      <c r="BD346" s="2" t="s">
        <v>23</v>
      </c>
      <c r="BE346" s="3" t="s">
        <v>1368</v>
      </c>
      <c r="BF346" s="118">
        <v>1.96</v>
      </c>
      <c r="BG346" s="49" t="s">
        <v>1</v>
      </c>
      <c r="BH346" s="49" t="s">
        <v>1</v>
      </c>
      <c r="BI346" s="1"/>
      <c r="BJ346" s="70" t="s">
        <v>1281</v>
      </c>
      <c r="BK346" s="57" t="s">
        <v>1281</v>
      </c>
      <c r="BL346" s="57" t="s">
        <v>1281</v>
      </c>
      <c r="BM346" s="57" t="s">
        <v>1281</v>
      </c>
      <c r="BN346" s="57" t="s">
        <v>1281</v>
      </c>
      <c r="BO346" s="57" t="s">
        <v>1281</v>
      </c>
      <c r="BP346" s="57" t="s">
        <v>1281</v>
      </c>
      <c r="BQ346" s="57" t="s">
        <v>1281</v>
      </c>
      <c r="BR346" s="57" t="s">
        <v>1281</v>
      </c>
      <c r="BS346" s="57" t="s">
        <v>1281</v>
      </c>
      <c r="BT346" s="57" t="s">
        <v>1281</v>
      </c>
      <c r="BU346" s="57" t="s">
        <v>1281</v>
      </c>
      <c r="BV346" s="70">
        <f>E346</f>
        <v>53</v>
      </c>
      <c r="BW346" s="71">
        <f>I346</f>
        <v>83</v>
      </c>
      <c r="BX346" s="72">
        <f>M346</f>
        <v>87</v>
      </c>
      <c r="BY346" s="71">
        <f>Q346</f>
        <v>119</v>
      </c>
      <c r="BZ346" s="72">
        <f>U346</f>
        <v>123</v>
      </c>
      <c r="CA346" s="71" t="str">
        <f>Y346</f>
        <v>-</v>
      </c>
      <c r="CB346" s="72">
        <f>AC346</f>
        <v>165</v>
      </c>
      <c r="CC346" s="71">
        <f>AG346</f>
        <v>210</v>
      </c>
      <c r="CD346" s="72">
        <f>AK346</f>
        <v>218</v>
      </c>
      <c r="CE346" s="71">
        <f>AO346</f>
        <v>294</v>
      </c>
      <c r="CF346" s="72">
        <f>AS346</f>
        <v>338</v>
      </c>
      <c r="CG346" s="71">
        <f>AW346</f>
        <v>368</v>
      </c>
      <c r="CH346" s="70">
        <f>G346</f>
        <v>82</v>
      </c>
      <c r="CI346" s="71">
        <f>K346</f>
        <v>86</v>
      </c>
      <c r="CJ346" s="72">
        <f>O346</f>
        <v>118</v>
      </c>
      <c r="CK346" s="72">
        <f>S346</f>
        <v>122</v>
      </c>
      <c r="CL346" s="72">
        <f>W346</f>
        <v>158</v>
      </c>
      <c r="CM346" s="72" t="str">
        <f>AA346</f>
        <v>-</v>
      </c>
      <c r="CN346" s="72">
        <f>AE346</f>
        <v>191</v>
      </c>
      <c r="CO346" s="72">
        <f>AI346</f>
        <v>212</v>
      </c>
      <c r="CP346" s="72">
        <f>AM346</f>
        <v>252</v>
      </c>
      <c r="CQ346" s="72">
        <f>AQ346</f>
        <v>330</v>
      </c>
      <c r="CR346" s="72">
        <f>AU346</f>
        <v>367</v>
      </c>
      <c r="CS346" s="72">
        <f>AY346</f>
        <v>383</v>
      </c>
      <c r="CT346" s="23">
        <f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>CONCATENATE(B347,"_",C347)</f>
        <v>ox2r_human_5WS3</v>
      </c>
      <c r="B347" s="3" t="s">
        <v>1169</v>
      </c>
      <c r="C347" s="3" t="s">
        <v>1442</v>
      </c>
      <c r="D347" s="3" t="str">
        <f>IFERROR(MID(VLOOKUP($B347,Seqs!$A:$B,2,0),E347,1),"")</f>
        <v>Y</v>
      </c>
      <c r="E347" s="3">
        <v>53</v>
      </c>
      <c r="F347" s="3" t="str">
        <f>IFERROR(MID(VLOOKUP($B347,Seqs!$A:$B,2,0),G347,1),"")</f>
        <v>N</v>
      </c>
      <c r="G347" s="3">
        <v>82</v>
      </c>
      <c r="H347" s="3" t="str">
        <f>IFERROR(MID(VLOOKUP($B347,Seqs!$A:$B,2,0),I347,1),"")</f>
        <v>H</v>
      </c>
      <c r="I347" s="23">
        <v>83</v>
      </c>
      <c r="J347" s="3" t="str">
        <f>IFERROR(MID(VLOOKUP($B347,Seqs!$A:$B,2,0),K347,1),"")</f>
        <v>R</v>
      </c>
      <c r="K347" s="23">
        <v>86</v>
      </c>
      <c r="L347" s="3" t="str">
        <f>IFERROR(MID(VLOOKUP($B347,Seqs!$A:$B,2,0),M347,1),"")</f>
        <v>T</v>
      </c>
      <c r="M347" s="3">
        <v>87</v>
      </c>
      <c r="N347" s="3" t="str">
        <f>IFERROR(MID(VLOOKUP($B347,Seqs!$A:$B,2,0),O347,1),"")</f>
        <v>E</v>
      </c>
      <c r="O347" s="3">
        <v>118</v>
      </c>
      <c r="P347" s="3" t="str">
        <f>IFERROR(MID(VLOOKUP($B347,Seqs!$A:$B,2,0),Q347,1),"")</f>
        <v>T</v>
      </c>
      <c r="Q347" s="3">
        <v>119</v>
      </c>
      <c r="R347" s="3" t="str">
        <f>IFERROR(MID(VLOOKUP($B347,Seqs!$A:$B,2,0),S347,1),"")</f>
        <v>F</v>
      </c>
      <c r="S347" s="3">
        <v>122</v>
      </c>
      <c r="T347" s="3" t="str">
        <f>IFERROR(MID(VLOOKUP($B347,Seqs!$A:$B,2,0),U347,1),"")</f>
        <v>G</v>
      </c>
      <c r="U347" s="3">
        <v>123</v>
      </c>
      <c r="V347" s="3" t="str">
        <f>IFERROR(MID(VLOOKUP($B347,Seqs!$A:$B,2,0),W347,1),"")</f>
        <v>H</v>
      </c>
      <c r="W347" s="3">
        <v>158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165</v>
      </c>
      <c r="AD347" s="3" t="str">
        <f>IFERROR(MID(VLOOKUP($B347,Seqs!$A:$B,2,0),AE347,1),"")</f>
        <v>M</v>
      </c>
      <c r="AE347" s="3">
        <v>191</v>
      </c>
      <c r="AF347" s="3" t="str">
        <f>IFERROR(MID(VLOOKUP($B347,Seqs!$A:$B,2,0),AG347,1),"")</f>
        <v>C</v>
      </c>
      <c r="AG347" s="3">
        <v>210</v>
      </c>
      <c r="AH347" s="3" t="str">
        <f>IFERROR(MID(VLOOKUP($B347,Seqs!$A:$B,2,0),AI347,1),"")</f>
        <v>E</v>
      </c>
      <c r="AI347" s="3">
        <v>212</v>
      </c>
      <c r="AJ347" s="3" t="str">
        <f>IFERROR(MID(VLOOKUP($B347,Seqs!$A:$B,2,0),AK347,1),"")</f>
        <v>I</v>
      </c>
      <c r="AK347" s="3">
        <v>218</v>
      </c>
      <c r="AL347" s="3" t="str">
        <f>IFERROR(MID(VLOOKUP($B347,Seqs!$A:$B,2,0),AM347,1),"")</f>
        <v>C</v>
      </c>
      <c r="AM347" s="3">
        <v>252</v>
      </c>
      <c r="AN347" s="3" t="str">
        <f>IFERROR(MID(VLOOKUP($B347,Seqs!$A:$B,2,0),AO347,1),"")</f>
        <v>K</v>
      </c>
      <c r="AO347" s="3">
        <v>294</v>
      </c>
      <c r="AP347" s="3" t="str">
        <f>IFERROR(MID(VLOOKUP($B347,Seqs!$A:$B,2,0),AQ347,1),"")</f>
        <v>F</v>
      </c>
      <c r="AQ347" s="3">
        <v>330</v>
      </c>
      <c r="AR347" s="3" t="str">
        <f>IFERROR(MID(VLOOKUP($B347,Seqs!$A:$B,2,0),AS347,1),"")</f>
        <v>D</v>
      </c>
      <c r="AS347" s="3">
        <v>338</v>
      </c>
      <c r="AT347" s="3" t="str">
        <f>IFERROR(MID(VLOOKUP($B347,Seqs!$A:$B,2,0),AU347,1),"")</f>
        <v>L</v>
      </c>
      <c r="AU347" s="3">
        <v>367</v>
      </c>
      <c r="AV347" s="3" t="str">
        <f>IFERROR(MID(VLOOKUP($B347,Seqs!$A:$B,2,0),AW347,1),"")</f>
        <v>S</v>
      </c>
      <c r="AW347" s="3">
        <v>368</v>
      </c>
      <c r="AX347" s="3" t="str">
        <f>IFERROR(MID(VLOOKUP($B347,Seqs!$A:$B,2,0),AY347,1),"")</f>
        <v>C</v>
      </c>
      <c r="AY347" s="3">
        <v>383</v>
      </c>
      <c r="AZ347" s="77" t="str">
        <f>VLOOKUP(B347,Classification!A:D,2,0)</f>
        <v>A</v>
      </c>
      <c r="BA347" s="94" t="str">
        <f>VLOOKUP(B347,Classification!A:D,4,0)</f>
        <v>Orexin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255</v>
      </c>
      <c r="BD347" s="2" t="s">
        <v>1370</v>
      </c>
      <c r="BE347" s="3" t="s">
        <v>1368</v>
      </c>
      <c r="BF347" s="118">
        <v>2.2999999999999998</v>
      </c>
      <c r="BG347" s="49" t="s">
        <v>1</v>
      </c>
      <c r="BH347" s="49" t="s">
        <v>1</v>
      </c>
      <c r="BI347" s="1"/>
      <c r="BJ347" s="70" t="s">
        <v>1281</v>
      </c>
      <c r="BK347" s="57" t="s">
        <v>1281</v>
      </c>
      <c r="BL347" s="57" t="s">
        <v>1281</v>
      </c>
      <c r="BM347" s="57" t="s">
        <v>1281</v>
      </c>
      <c r="BN347" s="57" t="s">
        <v>1281</v>
      </c>
      <c r="BO347" s="57" t="s">
        <v>1281</v>
      </c>
      <c r="BP347" s="57" t="s">
        <v>1281</v>
      </c>
      <c r="BQ347" s="57" t="s">
        <v>1281</v>
      </c>
      <c r="BR347" s="57" t="s">
        <v>1281</v>
      </c>
      <c r="BS347" s="57" t="s">
        <v>1281</v>
      </c>
      <c r="BT347" s="57" t="s">
        <v>1281</v>
      </c>
      <c r="BU347" s="57" t="s">
        <v>1281</v>
      </c>
      <c r="BV347" s="70">
        <f>E347</f>
        <v>53</v>
      </c>
      <c r="BW347" s="71">
        <f>I347</f>
        <v>83</v>
      </c>
      <c r="BX347" s="72">
        <f>M347</f>
        <v>87</v>
      </c>
      <c r="BY347" s="71">
        <f>Q347</f>
        <v>119</v>
      </c>
      <c r="BZ347" s="72">
        <f>U347</f>
        <v>123</v>
      </c>
      <c r="CA347" s="71" t="str">
        <f>Y347</f>
        <v>-</v>
      </c>
      <c r="CB347" s="72">
        <f>AC347</f>
        <v>165</v>
      </c>
      <c r="CC347" s="71">
        <f>AG347</f>
        <v>210</v>
      </c>
      <c r="CD347" s="72">
        <f>AK347</f>
        <v>218</v>
      </c>
      <c r="CE347" s="71">
        <f>AO347</f>
        <v>294</v>
      </c>
      <c r="CF347" s="72">
        <f>AS347</f>
        <v>338</v>
      </c>
      <c r="CG347" s="71">
        <f>AW347</f>
        <v>368</v>
      </c>
      <c r="CH347" s="70">
        <f>G347</f>
        <v>82</v>
      </c>
      <c r="CI347" s="71">
        <f>K347</f>
        <v>86</v>
      </c>
      <c r="CJ347" s="72">
        <f>O347</f>
        <v>118</v>
      </c>
      <c r="CK347" s="72">
        <f>S347</f>
        <v>122</v>
      </c>
      <c r="CL347" s="72">
        <f>W347</f>
        <v>158</v>
      </c>
      <c r="CM347" s="72" t="str">
        <f>AA347</f>
        <v>-</v>
      </c>
      <c r="CN347" s="72">
        <f>AE347</f>
        <v>191</v>
      </c>
      <c r="CO347" s="72">
        <f>AI347</f>
        <v>212</v>
      </c>
      <c r="CP347" s="72">
        <f>AM347</f>
        <v>252</v>
      </c>
      <c r="CQ347" s="72">
        <f>AQ347</f>
        <v>330</v>
      </c>
      <c r="CR347" s="72">
        <f>AU347</f>
        <v>367</v>
      </c>
      <c r="CS347" s="72">
        <f>AY347</f>
        <v>383</v>
      </c>
      <c r="CT347" s="23">
        <f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s="12" customFormat="1" x14ac:dyDescent="0.2">
      <c r="A348" s="9" t="str">
        <f>CONCATENATE(B348,"_",C348)</f>
        <v>ox2r_human_6TPG</v>
      </c>
      <c r="B348" s="9" t="s">
        <v>1169</v>
      </c>
      <c r="C348" s="9" t="s">
        <v>1640</v>
      </c>
      <c r="D348" s="9" t="str">
        <f>IFERROR(MID(VLOOKUP($B348,Seqs!$A:$B,2,0),E348,1),"")</f>
        <v>Y</v>
      </c>
      <c r="E348" s="9">
        <v>53</v>
      </c>
      <c r="F348" s="9" t="str">
        <f>IFERROR(MID(VLOOKUP($B348,Seqs!$A:$B,2,0),G348,1),"")</f>
        <v>N</v>
      </c>
      <c r="G348" s="9">
        <v>82</v>
      </c>
      <c r="H348" s="9" t="str">
        <f>IFERROR(MID(VLOOKUP($B348,Seqs!$A:$B,2,0),I348,1),"")</f>
        <v>H</v>
      </c>
      <c r="I348" s="109">
        <v>83</v>
      </c>
      <c r="J348" s="9" t="str">
        <f>IFERROR(MID(VLOOKUP($B348,Seqs!$A:$B,2,0),K348,1),"")</f>
        <v>R</v>
      </c>
      <c r="K348" s="109">
        <v>86</v>
      </c>
      <c r="L348" s="9" t="str">
        <f>IFERROR(MID(VLOOKUP($B348,Seqs!$A:$B,2,0),M348,1),"")</f>
        <v>T</v>
      </c>
      <c r="M348" s="9">
        <v>87</v>
      </c>
      <c r="N348" s="9" t="str">
        <f>IFERROR(MID(VLOOKUP($B348,Seqs!$A:$B,2,0),O348,1),"")</f>
        <v>E</v>
      </c>
      <c r="O348" s="9">
        <v>118</v>
      </c>
      <c r="P348" s="9" t="str">
        <f>IFERROR(MID(VLOOKUP($B348,Seqs!$A:$B,2,0),Q348,1),"")</f>
        <v>T</v>
      </c>
      <c r="Q348" s="9">
        <v>119</v>
      </c>
      <c r="R348" s="9" t="str">
        <f>IFERROR(MID(VLOOKUP($B348,Seqs!$A:$B,2,0),S348,1),"")</f>
        <v>F</v>
      </c>
      <c r="S348" s="9">
        <v>122</v>
      </c>
      <c r="T348" s="9" t="str">
        <f>IFERROR(MID(VLOOKUP($B348,Seqs!$A:$B,2,0),U348,1),"")</f>
        <v>G</v>
      </c>
      <c r="U348" s="9">
        <v>123</v>
      </c>
      <c r="V348" s="9" t="str">
        <f>IFERROR(MID(VLOOKUP($B348,Seqs!$A:$B,2,0),W348,1),"")</f>
        <v>C</v>
      </c>
      <c r="W348" s="9">
        <v>157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T</v>
      </c>
      <c r="AC348" s="9">
        <v>165</v>
      </c>
      <c r="AD348" s="9" t="str">
        <f>IFERROR(MID(VLOOKUP($B348,Seqs!$A:$B,2,0),AE348,1),"")</f>
        <v>M</v>
      </c>
      <c r="AE348" s="9">
        <v>191</v>
      </c>
      <c r="AF348" s="9" t="str">
        <f>IFERROR(MID(VLOOKUP($B348,Seqs!$A:$B,2,0),AG348,1),"")</f>
        <v>C</v>
      </c>
      <c r="AG348" s="9">
        <v>210</v>
      </c>
      <c r="AH348" s="9" t="str">
        <f>IFERROR(MID(VLOOKUP($B348,Seqs!$A:$B,2,0),AI348,1),"")</f>
        <v>E</v>
      </c>
      <c r="AI348" s="9">
        <v>212</v>
      </c>
      <c r="AJ348" s="9" t="str">
        <f>IFERROR(MID(VLOOKUP($B348,Seqs!$A:$B,2,0),AK348,1),"")</f>
        <v>I</v>
      </c>
      <c r="AK348" s="9">
        <v>218</v>
      </c>
      <c r="AL348" s="9" t="str">
        <f>IFERROR(MID(VLOOKUP($B348,Seqs!$A:$B,2,0),AM348,1),"")</f>
        <v>C</v>
      </c>
      <c r="AM348" s="9">
        <v>252</v>
      </c>
      <c r="AN348" s="9" t="str">
        <f>IFERROR(MID(VLOOKUP($B348,Seqs!$A:$B,2,0),AO348,1),"")</f>
        <v>K</v>
      </c>
      <c r="AO348" s="9">
        <v>294</v>
      </c>
      <c r="AP348" s="9" t="str">
        <f>IFERROR(MID(VLOOKUP($B348,Seqs!$A:$B,2,0),AQ348,1),"")</f>
        <v>F</v>
      </c>
      <c r="AQ348" s="9">
        <v>330</v>
      </c>
      <c r="AR348" s="9" t="str">
        <f>IFERROR(MID(VLOOKUP($B348,Seqs!$A:$B,2,0),AS348,1),"")</f>
        <v>R</v>
      </c>
      <c r="AS348" s="9">
        <v>339</v>
      </c>
      <c r="AT348" s="9" t="str">
        <f>IFERROR(MID(VLOOKUP($B348,Seqs!$A:$B,2,0),AU348,1),"")</f>
        <v>L</v>
      </c>
      <c r="AU348" s="9">
        <v>367</v>
      </c>
      <c r="AV348" s="9" t="str">
        <f>IFERROR(MID(VLOOKUP($B348,Seqs!$A:$B,2,0),AW348,1),"")</f>
        <v>S</v>
      </c>
      <c r="AW348" s="9">
        <v>368</v>
      </c>
      <c r="AX348" s="9" t="str">
        <f>IFERROR(MID(VLOOKUP($B348,Seqs!$A:$B,2,0),AY348,1),"")</f>
        <v>L</v>
      </c>
      <c r="AY348" s="9">
        <v>384</v>
      </c>
      <c r="AZ348" s="110" t="str">
        <f>VLOOKUP(B348,Classification!A:D,2,0)</f>
        <v>A</v>
      </c>
      <c r="BA348" s="98" t="str">
        <f>VLOOKUP(B348,Classification!A:D,4,0)</f>
        <v>Orexin</v>
      </c>
      <c r="BB348" s="36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>_xlfn.AGGREGATE(9,6,CH348:CS348)-_xlfn.AGGREGATE(9,6,BV348:CG348)+12</f>
        <v>254</v>
      </c>
      <c r="BD348" s="40" t="s">
        <v>23</v>
      </c>
      <c r="BE348" s="9" t="s">
        <v>1368</v>
      </c>
      <c r="BF348" s="119">
        <v>2.74</v>
      </c>
      <c r="BG348" s="51" t="s">
        <v>1</v>
      </c>
      <c r="BH348" s="51" t="s">
        <v>1</v>
      </c>
      <c r="BJ348" s="111" t="s">
        <v>1281</v>
      </c>
      <c r="BK348" s="112" t="s">
        <v>1281</v>
      </c>
      <c r="BL348" s="112" t="s">
        <v>1281</v>
      </c>
      <c r="BM348" s="112" t="s">
        <v>1281</v>
      </c>
      <c r="BN348" s="112" t="s">
        <v>1281</v>
      </c>
      <c r="BO348" s="112" t="s">
        <v>1281</v>
      </c>
      <c r="BP348" s="112" t="s">
        <v>1281</v>
      </c>
      <c r="BQ348" s="112" t="s">
        <v>1281</v>
      </c>
      <c r="BR348" s="112" t="s">
        <v>1281</v>
      </c>
      <c r="BS348" s="112" t="s">
        <v>1281</v>
      </c>
      <c r="BT348" s="112" t="s">
        <v>1281</v>
      </c>
      <c r="BU348" s="112" t="s">
        <v>1281</v>
      </c>
      <c r="BV348" s="111">
        <f>E348</f>
        <v>53</v>
      </c>
      <c r="BW348" s="113">
        <f>I348</f>
        <v>83</v>
      </c>
      <c r="BX348" s="114">
        <f>M348</f>
        <v>87</v>
      </c>
      <c r="BY348" s="113">
        <f>Q348</f>
        <v>119</v>
      </c>
      <c r="BZ348" s="114">
        <f>U348</f>
        <v>123</v>
      </c>
      <c r="CA348" s="113" t="str">
        <f>Y348</f>
        <v>-</v>
      </c>
      <c r="CB348" s="114">
        <f>AC348</f>
        <v>165</v>
      </c>
      <c r="CC348" s="113">
        <f>AG348</f>
        <v>210</v>
      </c>
      <c r="CD348" s="114">
        <f>AK348</f>
        <v>218</v>
      </c>
      <c r="CE348" s="113">
        <f>AO348</f>
        <v>294</v>
      </c>
      <c r="CF348" s="114">
        <f>AS348</f>
        <v>339</v>
      </c>
      <c r="CG348" s="113">
        <f>AW348</f>
        <v>368</v>
      </c>
      <c r="CH348" s="111">
        <f>G348</f>
        <v>82</v>
      </c>
      <c r="CI348" s="113">
        <f>K348</f>
        <v>86</v>
      </c>
      <c r="CJ348" s="114">
        <f>O348</f>
        <v>118</v>
      </c>
      <c r="CK348" s="114">
        <f>S348</f>
        <v>122</v>
      </c>
      <c r="CL348" s="114">
        <f>W348</f>
        <v>157</v>
      </c>
      <c r="CM348" s="114" t="str">
        <f>AA348</f>
        <v>-</v>
      </c>
      <c r="CN348" s="114">
        <f>AE348</f>
        <v>191</v>
      </c>
      <c r="CO348" s="114">
        <f>AI348</f>
        <v>212</v>
      </c>
      <c r="CP348" s="114">
        <f>AM348</f>
        <v>252</v>
      </c>
      <c r="CQ348" s="114">
        <f>AQ348</f>
        <v>330</v>
      </c>
      <c r="CR348" s="114">
        <f>AU348</f>
        <v>367</v>
      </c>
      <c r="CS348" s="114">
        <f>AY348</f>
        <v>384</v>
      </c>
      <c r="CT348" s="109">
        <f>M348-K348</f>
        <v>1</v>
      </c>
    </row>
    <row r="349" spans="1:1030" s="12" customFormat="1" x14ac:dyDescent="0.2">
      <c r="A349" s="9" t="str">
        <f>CONCATENATE(B349,"_",C349)</f>
        <v>ox2r_human_6TPJ</v>
      </c>
      <c r="B349" s="9" t="s">
        <v>1169</v>
      </c>
      <c r="C349" s="9" t="s">
        <v>1641</v>
      </c>
      <c r="D349" s="9" t="str">
        <f>IFERROR(MID(VLOOKUP($B349,Seqs!$A:$B,2,0),E349,1),"")</f>
        <v>Y</v>
      </c>
      <c r="E349" s="9">
        <v>53</v>
      </c>
      <c r="F349" s="9" t="str">
        <f>IFERROR(MID(VLOOKUP($B349,Seqs!$A:$B,2,0),G349,1),"")</f>
        <v>N</v>
      </c>
      <c r="G349" s="9">
        <v>82</v>
      </c>
      <c r="H349" s="9" t="str">
        <f>IFERROR(MID(VLOOKUP($B349,Seqs!$A:$B,2,0),I349,1),"")</f>
        <v>H</v>
      </c>
      <c r="I349" s="109">
        <v>83</v>
      </c>
      <c r="J349" s="9" t="str">
        <f>IFERROR(MID(VLOOKUP($B349,Seqs!$A:$B,2,0),K349,1),"")</f>
        <v>R</v>
      </c>
      <c r="K349" s="109">
        <v>86</v>
      </c>
      <c r="L349" s="9" t="str">
        <f>IFERROR(MID(VLOOKUP($B349,Seqs!$A:$B,2,0),M349,1),"")</f>
        <v>T</v>
      </c>
      <c r="M349" s="9">
        <v>87</v>
      </c>
      <c r="N349" s="9" t="str">
        <f>IFERROR(MID(VLOOKUP($B349,Seqs!$A:$B,2,0),O349,1),"")</f>
        <v>E</v>
      </c>
      <c r="O349" s="9">
        <v>118</v>
      </c>
      <c r="P349" s="9" t="str">
        <f>IFERROR(MID(VLOOKUP($B349,Seqs!$A:$B,2,0),Q349,1),"")</f>
        <v>T</v>
      </c>
      <c r="Q349" s="9">
        <v>119</v>
      </c>
      <c r="R349" s="9" t="str">
        <f>IFERROR(MID(VLOOKUP($B349,Seqs!$A:$B,2,0),S349,1),"")</f>
        <v>F</v>
      </c>
      <c r="S349" s="9">
        <v>122</v>
      </c>
      <c r="T349" s="9" t="str">
        <f>IFERROR(MID(VLOOKUP($B349,Seqs!$A:$B,2,0),U349,1),"")</f>
        <v>G</v>
      </c>
      <c r="U349" s="9">
        <v>123</v>
      </c>
      <c r="V349" s="9" t="str">
        <f>IFERROR(MID(VLOOKUP($B349,Seqs!$A:$B,2,0),W349,1),"")</f>
        <v>C</v>
      </c>
      <c r="W349" s="9">
        <v>157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T</v>
      </c>
      <c r="AC349" s="9">
        <v>165</v>
      </c>
      <c r="AD349" s="9" t="str">
        <f>IFERROR(MID(VLOOKUP($B349,Seqs!$A:$B,2,0),AE349,1),"")</f>
        <v>M</v>
      </c>
      <c r="AE349" s="9">
        <v>191</v>
      </c>
      <c r="AF349" s="9" t="str">
        <f>IFERROR(MID(VLOOKUP($B349,Seqs!$A:$B,2,0),AG349,1),"")</f>
        <v>C</v>
      </c>
      <c r="AG349" s="9">
        <v>210</v>
      </c>
      <c r="AH349" s="9" t="str">
        <f>IFERROR(MID(VLOOKUP($B349,Seqs!$A:$B,2,0),AI349,1),"")</f>
        <v>E</v>
      </c>
      <c r="AI349" s="9">
        <v>212</v>
      </c>
      <c r="AJ349" s="9" t="str">
        <f>IFERROR(MID(VLOOKUP($B349,Seqs!$A:$B,2,0),AK349,1),"")</f>
        <v>I</v>
      </c>
      <c r="AK349" s="9">
        <v>218</v>
      </c>
      <c r="AL349" s="9" t="str">
        <f>IFERROR(MID(VLOOKUP($B349,Seqs!$A:$B,2,0),AM349,1),"")</f>
        <v>C</v>
      </c>
      <c r="AM349" s="9">
        <v>252</v>
      </c>
      <c r="AN349" s="9" t="str">
        <f>IFERROR(MID(VLOOKUP($B349,Seqs!$A:$B,2,0),AO349,1),"")</f>
        <v>K</v>
      </c>
      <c r="AO349" s="9">
        <v>294</v>
      </c>
      <c r="AP349" s="9" t="str">
        <f>IFERROR(MID(VLOOKUP($B349,Seqs!$A:$B,2,0),AQ349,1),"")</f>
        <v>F</v>
      </c>
      <c r="AQ349" s="9">
        <v>330</v>
      </c>
      <c r="AR349" s="9" t="str">
        <f>IFERROR(MID(VLOOKUP($B349,Seqs!$A:$B,2,0),AS349,1),"")</f>
        <v>R</v>
      </c>
      <c r="AS349" s="9">
        <v>339</v>
      </c>
      <c r="AT349" s="9" t="str">
        <f>IFERROR(MID(VLOOKUP($B349,Seqs!$A:$B,2,0),AU349,1),"")</f>
        <v>L</v>
      </c>
      <c r="AU349" s="9">
        <v>367</v>
      </c>
      <c r="AV349" s="9" t="str">
        <f>IFERROR(MID(VLOOKUP($B349,Seqs!$A:$B,2,0),AW349,1),"")</f>
        <v>S</v>
      </c>
      <c r="AW349" s="9">
        <v>368</v>
      </c>
      <c r="AX349" s="9" t="str">
        <f>IFERROR(MID(VLOOKUP($B349,Seqs!$A:$B,2,0),AY349,1),"")</f>
        <v>L</v>
      </c>
      <c r="AY349" s="9">
        <v>384</v>
      </c>
      <c r="AZ349" s="110" t="str">
        <f>VLOOKUP(B349,Classification!A:D,2,0)</f>
        <v>A</v>
      </c>
      <c r="BA349" s="98" t="str">
        <f>VLOOKUP(B349,Classification!A:D,4,0)</f>
        <v>Orexin</v>
      </c>
      <c r="BB349" s="36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>_xlfn.AGGREGATE(9,6,CH349:CS349)-_xlfn.AGGREGATE(9,6,BV349:CG349)+12</f>
        <v>254</v>
      </c>
      <c r="BD349" s="40" t="s">
        <v>23</v>
      </c>
      <c r="BE349" s="9" t="s">
        <v>1368</v>
      </c>
      <c r="BF349" s="119">
        <v>2.74</v>
      </c>
      <c r="BG349" s="51" t="s">
        <v>1</v>
      </c>
      <c r="BH349" s="51" t="s">
        <v>1</v>
      </c>
      <c r="BJ349" s="111" t="s">
        <v>1281</v>
      </c>
      <c r="BK349" s="112" t="s">
        <v>1281</v>
      </c>
      <c r="BL349" s="112" t="s">
        <v>1281</v>
      </c>
      <c r="BM349" s="112" t="s">
        <v>1281</v>
      </c>
      <c r="BN349" s="112" t="s">
        <v>1281</v>
      </c>
      <c r="BO349" s="112" t="s">
        <v>1281</v>
      </c>
      <c r="BP349" s="112" t="s">
        <v>1281</v>
      </c>
      <c r="BQ349" s="112" t="s">
        <v>1281</v>
      </c>
      <c r="BR349" s="112" t="s">
        <v>1281</v>
      </c>
      <c r="BS349" s="112" t="s">
        <v>1281</v>
      </c>
      <c r="BT349" s="112" t="s">
        <v>1281</v>
      </c>
      <c r="BU349" s="112" t="s">
        <v>1281</v>
      </c>
      <c r="BV349" s="111">
        <f>E349</f>
        <v>53</v>
      </c>
      <c r="BW349" s="113">
        <f>I349</f>
        <v>83</v>
      </c>
      <c r="BX349" s="114">
        <f>M349</f>
        <v>87</v>
      </c>
      <c r="BY349" s="113">
        <f>Q349</f>
        <v>119</v>
      </c>
      <c r="BZ349" s="114">
        <f>U349</f>
        <v>123</v>
      </c>
      <c r="CA349" s="113" t="str">
        <f>Y349</f>
        <v>-</v>
      </c>
      <c r="CB349" s="114">
        <f>AC349</f>
        <v>165</v>
      </c>
      <c r="CC349" s="113">
        <f>AG349</f>
        <v>210</v>
      </c>
      <c r="CD349" s="114">
        <f>AK349</f>
        <v>218</v>
      </c>
      <c r="CE349" s="113">
        <f>AO349</f>
        <v>294</v>
      </c>
      <c r="CF349" s="114">
        <f>AS349</f>
        <v>339</v>
      </c>
      <c r="CG349" s="113">
        <f>AW349</f>
        <v>368</v>
      </c>
      <c r="CH349" s="111">
        <f>G349</f>
        <v>82</v>
      </c>
      <c r="CI349" s="113">
        <f>K349</f>
        <v>86</v>
      </c>
      <c r="CJ349" s="114">
        <f>O349</f>
        <v>118</v>
      </c>
      <c r="CK349" s="114">
        <f>S349</f>
        <v>122</v>
      </c>
      <c r="CL349" s="114">
        <f>W349</f>
        <v>157</v>
      </c>
      <c r="CM349" s="114" t="str">
        <f>AA349</f>
        <v>-</v>
      </c>
      <c r="CN349" s="114">
        <f>AE349</f>
        <v>191</v>
      </c>
      <c r="CO349" s="114">
        <f>AI349</f>
        <v>212</v>
      </c>
      <c r="CP349" s="114">
        <f>AM349</f>
        <v>252</v>
      </c>
      <c r="CQ349" s="114">
        <f>AQ349</f>
        <v>330</v>
      </c>
      <c r="CR349" s="114">
        <f>AU349</f>
        <v>367</v>
      </c>
      <c r="CS349" s="114">
        <f>AY349</f>
        <v>384</v>
      </c>
      <c r="CT349" s="109">
        <f>M349-K349</f>
        <v>1</v>
      </c>
    </row>
    <row r="350" spans="1:1030" s="12" customFormat="1" x14ac:dyDescent="0.2">
      <c r="A350" s="9" t="str">
        <f>CONCATENATE(B350,"_",C350)</f>
        <v>ox2r_human_6TPN</v>
      </c>
      <c r="B350" s="9" t="s">
        <v>1169</v>
      </c>
      <c r="C350" s="9" t="s">
        <v>1618</v>
      </c>
      <c r="D350" s="9" t="str">
        <f>IFERROR(MID(VLOOKUP($B350,Seqs!$A:$B,2,0),E350,1),"")</f>
        <v>Y</v>
      </c>
      <c r="E350" s="9">
        <v>53</v>
      </c>
      <c r="F350" s="9" t="str">
        <f>IFERROR(MID(VLOOKUP($B350,Seqs!$A:$B,2,0),G350,1),"")</f>
        <v>N</v>
      </c>
      <c r="G350" s="9">
        <v>82</v>
      </c>
      <c r="H350" s="9" t="str">
        <f>IFERROR(MID(VLOOKUP($B350,Seqs!$A:$B,2,0),I350,1),"")</f>
        <v>H</v>
      </c>
      <c r="I350" s="109">
        <v>83</v>
      </c>
      <c r="J350" s="9" t="str">
        <f>IFERROR(MID(VLOOKUP($B350,Seqs!$A:$B,2,0),K350,1),"")</f>
        <v>R</v>
      </c>
      <c r="K350" s="109">
        <v>86</v>
      </c>
      <c r="L350" s="9" t="str">
        <f>IFERROR(MID(VLOOKUP($B350,Seqs!$A:$B,2,0),M350,1),"")</f>
        <v>T</v>
      </c>
      <c r="M350" s="9">
        <v>87</v>
      </c>
      <c r="N350" s="9" t="str">
        <f>IFERROR(MID(VLOOKUP($B350,Seqs!$A:$B,2,0),O350,1),"")</f>
        <v>E</v>
      </c>
      <c r="O350" s="9">
        <v>118</v>
      </c>
      <c r="P350" s="9" t="str">
        <f>IFERROR(MID(VLOOKUP($B350,Seqs!$A:$B,2,0),Q350,1),"")</f>
        <v>T</v>
      </c>
      <c r="Q350" s="9">
        <v>119</v>
      </c>
      <c r="R350" s="9" t="str">
        <f>IFERROR(MID(VLOOKUP($B350,Seqs!$A:$B,2,0),S350,1),"")</f>
        <v>F</v>
      </c>
      <c r="S350" s="9">
        <v>122</v>
      </c>
      <c r="T350" s="9" t="str">
        <f>IFERROR(MID(VLOOKUP($B350,Seqs!$A:$B,2,0),U350,1),"")</f>
        <v>G</v>
      </c>
      <c r="U350" s="9">
        <v>123</v>
      </c>
      <c r="V350" s="9" t="str">
        <f>IFERROR(MID(VLOOKUP($B350,Seqs!$A:$B,2,0),W350,1),"")</f>
        <v>C</v>
      </c>
      <c r="W350" s="9">
        <v>157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T</v>
      </c>
      <c r="AC350" s="9">
        <v>165</v>
      </c>
      <c r="AD350" s="9" t="str">
        <f>IFERROR(MID(VLOOKUP($B350,Seqs!$A:$B,2,0),AE350,1),"")</f>
        <v>M</v>
      </c>
      <c r="AE350" s="9">
        <v>191</v>
      </c>
      <c r="AF350" s="9" t="str">
        <f>IFERROR(MID(VLOOKUP($B350,Seqs!$A:$B,2,0),AG350,1),"")</f>
        <v>C</v>
      </c>
      <c r="AG350" s="9">
        <v>210</v>
      </c>
      <c r="AH350" s="9" t="str">
        <f>IFERROR(MID(VLOOKUP($B350,Seqs!$A:$B,2,0),AI350,1),"")</f>
        <v>E</v>
      </c>
      <c r="AI350" s="9">
        <v>212</v>
      </c>
      <c r="AJ350" s="9" t="str">
        <f>IFERROR(MID(VLOOKUP($B350,Seqs!$A:$B,2,0),AK350,1),"")</f>
        <v>I</v>
      </c>
      <c r="AK350" s="9">
        <v>218</v>
      </c>
      <c r="AL350" s="9" t="str">
        <f>IFERROR(MID(VLOOKUP($B350,Seqs!$A:$B,2,0),AM350,1),"")</f>
        <v>C</v>
      </c>
      <c r="AM350" s="9">
        <v>252</v>
      </c>
      <c r="AN350" s="9" t="str">
        <f>IFERROR(MID(VLOOKUP($B350,Seqs!$A:$B,2,0),AO350,1),"")</f>
        <v>K</v>
      </c>
      <c r="AO350" s="9">
        <v>294</v>
      </c>
      <c r="AP350" s="9" t="str">
        <f>IFERROR(MID(VLOOKUP($B350,Seqs!$A:$B,2,0),AQ350,1),"")</f>
        <v>F</v>
      </c>
      <c r="AQ350" s="9">
        <v>330</v>
      </c>
      <c r="AR350" s="9" t="str">
        <f>IFERROR(MID(VLOOKUP($B350,Seqs!$A:$B,2,0),AS350,1),"")</f>
        <v>R</v>
      </c>
      <c r="AS350" s="9">
        <v>339</v>
      </c>
      <c r="AT350" s="9" t="str">
        <f>IFERROR(MID(VLOOKUP($B350,Seqs!$A:$B,2,0),AU350,1),"")</f>
        <v>L</v>
      </c>
      <c r="AU350" s="9">
        <v>367</v>
      </c>
      <c r="AV350" s="9" t="str">
        <f>IFERROR(MID(VLOOKUP($B350,Seqs!$A:$B,2,0),AW350,1),"")</f>
        <v>S</v>
      </c>
      <c r="AW350" s="9">
        <v>368</v>
      </c>
      <c r="AX350" s="9" t="str">
        <f>IFERROR(MID(VLOOKUP($B350,Seqs!$A:$B,2,0),AY350,1),"")</f>
        <v>L</v>
      </c>
      <c r="AY350" s="9">
        <v>384</v>
      </c>
      <c r="AZ350" s="110" t="str">
        <f>VLOOKUP(B350,Classification!A:D,2,0)</f>
        <v>A</v>
      </c>
      <c r="BA350" s="98" t="str">
        <f>VLOOKUP(B350,Classification!A:D,4,0)</f>
        <v>Orexin</v>
      </c>
      <c r="BB350" s="36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>_xlfn.AGGREGATE(9,6,CH350:CS350)-_xlfn.AGGREGATE(9,6,BV350:CG350)+12</f>
        <v>254</v>
      </c>
      <c r="BD350" s="40" t="s">
        <v>23</v>
      </c>
      <c r="BE350" s="9" t="s">
        <v>1368</v>
      </c>
      <c r="BF350" s="119">
        <v>2.61</v>
      </c>
      <c r="BG350" s="51" t="s">
        <v>1</v>
      </c>
      <c r="BH350" s="51" t="s">
        <v>1</v>
      </c>
      <c r="BJ350" s="111" t="s">
        <v>1281</v>
      </c>
      <c r="BK350" s="112" t="s">
        <v>1281</v>
      </c>
      <c r="BL350" s="112" t="s">
        <v>1281</v>
      </c>
      <c r="BM350" s="112" t="s">
        <v>1281</v>
      </c>
      <c r="BN350" s="112" t="s">
        <v>1281</v>
      </c>
      <c r="BO350" s="112" t="s">
        <v>1281</v>
      </c>
      <c r="BP350" s="112" t="s">
        <v>1281</v>
      </c>
      <c r="BQ350" s="112" t="s">
        <v>1281</v>
      </c>
      <c r="BR350" s="112" t="s">
        <v>1281</v>
      </c>
      <c r="BS350" s="112" t="s">
        <v>1281</v>
      </c>
      <c r="BT350" s="112" t="s">
        <v>1281</v>
      </c>
      <c r="BU350" s="112" t="s">
        <v>1281</v>
      </c>
      <c r="BV350" s="111">
        <f>E350</f>
        <v>53</v>
      </c>
      <c r="BW350" s="113">
        <f>I350</f>
        <v>83</v>
      </c>
      <c r="BX350" s="114">
        <f>M350</f>
        <v>87</v>
      </c>
      <c r="BY350" s="113">
        <f>Q350</f>
        <v>119</v>
      </c>
      <c r="BZ350" s="114">
        <f>U350</f>
        <v>123</v>
      </c>
      <c r="CA350" s="113" t="str">
        <f>Y350</f>
        <v>-</v>
      </c>
      <c r="CB350" s="114">
        <f>AC350</f>
        <v>165</v>
      </c>
      <c r="CC350" s="113">
        <f>AG350</f>
        <v>210</v>
      </c>
      <c r="CD350" s="114">
        <f>AK350</f>
        <v>218</v>
      </c>
      <c r="CE350" s="113">
        <f>AO350</f>
        <v>294</v>
      </c>
      <c r="CF350" s="114">
        <f>AS350</f>
        <v>339</v>
      </c>
      <c r="CG350" s="113">
        <f>AW350</f>
        <v>368</v>
      </c>
      <c r="CH350" s="111">
        <f>G350</f>
        <v>82</v>
      </c>
      <c r="CI350" s="113">
        <f>K350</f>
        <v>86</v>
      </c>
      <c r="CJ350" s="114">
        <f>O350</f>
        <v>118</v>
      </c>
      <c r="CK350" s="114">
        <f>S350</f>
        <v>122</v>
      </c>
      <c r="CL350" s="114">
        <f>W350</f>
        <v>157</v>
      </c>
      <c r="CM350" s="114" t="str">
        <f>AA350</f>
        <v>-</v>
      </c>
      <c r="CN350" s="114">
        <f>AE350</f>
        <v>191</v>
      </c>
      <c r="CO350" s="114">
        <f>AI350</f>
        <v>212</v>
      </c>
      <c r="CP350" s="114">
        <f>AM350</f>
        <v>252</v>
      </c>
      <c r="CQ350" s="114">
        <f>AQ350</f>
        <v>330</v>
      </c>
      <c r="CR350" s="114">
        <f>AU350</f>
        <v>367</v>
      </c>
      <c r="CS350" s="114">
        <f>AY350</f>
        <v>384</v>
      </c>
      <c r="CT350" s="109">
        <f>M350-K350</f>
        <v>1</v>
      </c>
    </row>
    <row r="351" spans="1:1030" x14ac:dyDescent="0.2">
      <c r="A351" s="3" t="str">
        <f t="shared" si="2541"/>
        <v>p2ry1_human__wt</v>
      </c>
      <c r="B351" s="3" t="s">
        <v>344</v>
      </c>
      <c r="C351" s="3" t="s">
        <v>100</v>
      </c>
      <c r="D351" s="3" t="str">
        <f>IFERROR(MID(VLOOKUP($B351,Seqs!$A:$B,2,0),E351,1),"")</f>
        <v>F</v>
      </c>
      <c r="E351" s="3">
        <v>49</v>
      </c>
      <c r="F351" s="3" t="str">
        <f>IFERROR(MID(VLOOKUP($B351,Seqs!$A:$B,2,0),G351,1),"")</f>
        <v>H</v>
      </c>
      <c r="G351" s="3">
        <v>79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S</v>
      </c>
      <c r="M351" s="3">
        <v>84</v>
      </c>
      <c r="N351" s="3" t="str">
        <f>IFERROR(MID(VLOOKUP($B351,Seqs!$A:$B,2,0),O351,1),"")</f>
        <v>N</v>
      </c>
      <c r="O351" s="3">
        <v>113</v>
      </c>
      <c r="P351" s="3" t="str">
        <f>IFERROR(MID(VLOOKUP($B351,Seqs!$A:$B,2,0),Q351,1),"")</f>
        <v>D</v>
      </c>
      <c r="Q351" s="3">
        <v>116</v>
      </c>
      <c r="R351" s="3" t="str">
        <f>IFERROR(MID(VLOOKUP($B351,Seqs!$A:$B,2,0),S351,1),"")</f>
        <v>F</v>
      </c>
      <c r="S351" s="3">
        <v>119</v>
      </c>
      <c r="T351" s="3" t="str">
        <f>IFERROR(MID(VLOOKUP($B351,Seqs!$A:$B,2,0),U351,1),"")</f>
        <v>G</v>
      </c>
      <c r="U351" s="3">
        <v>120</v>
      </c>
      <c r="V351" s="3" t="str">
        <f>IFERROR(MID(VLOOKUP($B351,Seqs!$A:$B,2,0),W351,1),"")</f>
        <v>Y</v>
      </c>
      <c r="W351" s="3">
        <v>155</v>
      </c>
      <c r="X351" s="3" t="str">
        <f>IFERROR(MID(VLOOKUP($B351,Seqs!$A:$B,2,0),Y351,1),"")</f>
        <v>P</v>
      </c>
      <c r="Y351" s="3">
        <v>156</v>
      </c>
      <c r="Z351" s="3" t="str">
        <f>IFERROR(MID(VLOOKUP($B351,Seqs!$A:$B,2,0),AA351,1),"")</f>
        <v>L</v>
      </c>
      <c r="AA351" s="3">
        <v>163</v>
      </c>
      <c r="AB351" s="3" t="str">
        <f>IFERROR(MID(VLOOKUP($B351,Seqs!$A:$B,2,0),AC351,1),"")</f>
        <v>K</v>
      </c>
      <c r="AC351" s="3">
        <v>164</v>
      </c>
      <c r="AD351" s="3" t="str">
        <f>IFERROR(MID(VLOOKUP($B351,Seqs!$A:$B,2,0),AE351,1),"")</f>
        <v>S</v>
      </c>
      <c r="AE351" s="3">
        <v>190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D</v>
      </c>
      <c r="AI351" s="3">
        <v>204</v>
      </c>
      <c r="AJ351" s="3" t="str">
        <f>IFERROR(MID(VLOOKUP($B351,Seqs!$A:$B,2,0),AK351,1),"")</f>
        <v>L</v>
      </c>
      <c r="AK351" s="3">
        <v>211</v>
      </c>
      <c r="AL351" s="3" t="str">
        <f>IFERROR(MID(VLOOKUP($B351,Seqs!$A:$B,2,0),AM351,1),"")</f>
        <v>K</v>
      </c>
      <c r="AM351" s="3">
        <v>247</v>
      </c>
      <c r="AN351" s="3" t="str">
        <f>IFERROR(MID(VLOOKUP($B351,Seqs!$A:$B,2,0),AO351,1),"")</f>
        <v>P</v>
      </c>
      <c r="AO351" s="3">
        <v>253</v>
      </c>
      <c r="AP351" s="3" t="str">
        <f>IFERROR(MID(VLOOKUP($B351,Seqs!$A:$B,2,0),AQ351,1),"")</f>
        <v>D</v>
      </c>
      <c r="AQ351" s="3">
        <v>289</v>
      </c>
      <c r="AR351" s="3" t="str">
        <f>IFERROR(MID(VLOOKUP($B351,Seqs!$A:$B,2,0),AS351,1),"")</f>
        <v>M</v>
      </c>
      <c r="AS351" s="3">
        <v>295</v>
      </c>
      <c r="AT351" s="3" t="str">
        <f>IFERROR(MID(VLOOKUP($B351,Seqs!$A:$B,2,0),AU351,1),"")</f>
        <v>A</v>
      </c>
      <c r="AU351" s="3">
        <v>327</v>
      </c>
      <c r="AV351" s="3" t="str">
        <f>IFERROR(MID(VLOOKUP($B351,Seqs!$A:$B,2,0),AW351,1),"")</f>
        <v>G</v>
      </c>
      <c r="AW351" s="3">
        <v>328</v>
      </c>
      <c r="AX351" s="3" t="str">
        <f>IFERROR(MID(VLOOKUP($B351,Seqs!$A:$B,2,0),AY351,1),"")</f>
        <v>R</v>
      </c>
      <c r="AY351" s="3">
        <v>340</v>
      </c>
      <c r="AZ351" s="77" t="str">
        <f>VLOOKUP(B351,Classification!A:D,2,0)</f>
        <v>A</v>
      </c>
      <c r="BA351" s="94" t="str">
        <f>VLOOKUP(B351,Classification!A:D,4,0)</f>
        <v>P2Y</v>
      </c>
      <c r="BB351" s="27" t="b">
        <f t="shared" si="2542"/>
        <v>1</v>
      </c>
      <c r="BC351" s="23">
        <f t="shared" si="2515"/>
        <v>260</v>
      </c>
      <c r="BD351" s="56" t="s">
        <v>23</v>
      </c>
      <c r="BE351" s="3" t="s">
        <v>23</v>
      </c>
      <c r="BF351" s="118" t="s">
        <v>23</v>
      </c>
      <c r="BG351" s="49" t="s">
        <v>1366</v>
      </c>
      <c r="BH351" s="49" t="s">
        <v>1371</v>
      </c>
      <c r="BI351" s="1"/>
      <c r="BJ351" s="70" t="s">
        <v>1281</v>
      </c>
      <c r="BK351" s="57" t="s">
        <v>1281</v>
      </c>
      <c r="BL351" s="57" t="s">
        <v>1281</v>
      </c>
      <c r="BM351" s="57" t="s">
        <v>1281</v>
      </c>
      <c r="BN351" s="57" t="s">
        <v>1281</v>
      </c>
      <c r="BO351" s="57" t="s">
        <v>1281</v>
      </c>
      <c r="BP351" s="57" t="s">
        <v>1281</v>
      </c>
      <c r="BQ351" s="57" t="s">
        <v>1281</v>
      </c>
      <c r="BR351" s="57" t="s">
        <v>1281</v>
      </c>
      <c r="BS351" s="57" t="s">
        <v>1281</v>
      </c>
      <c r="BT351" s="57" t="s">
        <v>1281</v>
      </c>
      <c r="BU351" s="57" t="s">
        <v>1281</v>
      </c>
      <c r="BV351" s="70">
        <f t="shared" si="2516"/>
        <v>49</v>
      </c>
      <c r="BW351" s="71" t="str">
        <f t="shared" si="2517"/>
        <v>-</v>
      </c>
      <c r="BX351" s="72">
        <f t="shared" si="2518"/>
        <v>84</v>
      </c>
      <c r="BY351" s="71">
        <f t="shared" si="2519"/>
        <v>116</v>
      </c>
      <c r="BZ351" s="72">
        <f t="shared" si="2520"/>
        <v>120</v>
      </c>
      <c r="CA351" s="71">
        <f t="shared" si="2521"/>
        <v>156</v>
      </c>
      <c r="CB351" s="72">
        <f t="shared" si="2522"/>
        <v>164</v>
      </c>
      <c r="CC351" s="71">
        <f t="shared" si="2523"/>
        <v>202</v>
      </c>
      <c r="CD351" s="72">
        <f t="shared" si="2524"/>
        <v>211</v>
      </c>
      <c r="CE351" s="71">
        <f t="shared" si="2525"/>
        <v>253</v>
      </c>
      <c r="CF351" s="72">
        <f t="shared" si="2526"/>
        <v>295</v>
      </c>
      <c r="CG351" s="71">
        <f t="shared" si="2527"/>
        <v>328</v>
      </c>
      <c r="CH351" s="70">
        <f t="shared" si="2528"/>
        <v>79</v>
      </c>
      <c r="CI351" s="71" t="str">
        <f t="shared" si="2529"/>
        <v>-</v>
      </c>
      <c r="CJ351" s="72">
        <f t="shared" si="2530"/>
        <v>113</v>
      </c>
      <c r="CK351" s="72">
        <f t="shared" si="2531"/>
        <v>119</v>
      </c>
      <c r="CL351" s="72">
        <f t="shared" si="2532"/>
        <v>155</v>
      </c>
      <c r="CM351" s="72">
        <f t="shared" si="2533"/>
        <v>163</v>
      </c>
      <c r="CN351" s="72">
        <f t="shared" si="2534"/>
        <v>190</v>
      </c>
      <c r="CO351" s="72">
        <f t="shared" si="2535"/>
        <v>204</v>
      </c>
      <c r="CP351" s="72">
        <f t="shared" si="2536"/>
        <v>247</v>
      </c>
      <c r="CQ351" s="72">
        <f t="shared" si="2537"/>
        <v>289</v>
      </c>
      <c r="CR351" s="72">
        <f t="shared" si="2538"/>
        <v>327</v>
      </c>
      <c r="CS351" s="72">
        <f t="shared" si="2539"/>
        <v>340</v>
      </c>
      <c r="CT351" s="23" t="e">
        <f t="shared" si="2540"/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2541"/>
        <v>p2ry1_human_4XNV</v>
      </c>
      <c r="B352" s="3" t="s">
        <v>344</v>
      </c>
      <c r="C352" s="3" t="s">
        <v>1145</v>
      </c>
      <c r="D352" s="3" t="str">
        <f>IFERROR(MID(VLOOKUP($B352,Seqs!$A:$B,2,0),E352,1),"")</f>
        <v>F</v>
      </c>
      <c r="E352" s="3">
        <v>49</v>
      </c>
      <c r="F352" s="3" t="str">
        <f>IFERROR(MID(VLOOKUP($B352,Seqs!$A:$B,2,0),G352,1),"")</f>
        <v>H</v>
      </c>
      <c r="G352" s="3">
        <v>79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S</v>
      </c>
      <c r="M352" s="3">
        <v>84</v>
      </c>
      <c r="N352" s="3" t="str">
        <f>IFERROR(MID(VLOOKUP($B352,Seqs!$A:$B,2,0),O352,1),"")</f>
        <v>N</v>
      </c>
      <c r="O352" s="3">
        <v>113</v>
      </c>
      <c r="P352" s="3" t="str">
        <f>IFERROR(MID(VLOOKUP($B352,Seqs!$A:$B,2,0),Q352,1),"")</f>
        <v>D</v>
      </c>
      <c r="Q352" s="3">
        <v>116</v>
      </c>
      <c r="R352" s="3" t="str">
        <f>IFERROR(MID(VLOOKUP($B352,Seqs!$A:$B,2,0),S352,1),"")</f>
        <v>F</v>
      </c>
      <c r="S352" s="3">
        <v>119</v>
      </c>
      <c r="T352" s="3" t="str">
        <f>IFERROR(MID(VLOOKUP($B352,Seqs!$A:$B,2,0),U352,1),"")</f>
        <v>G</v>
      </c>
      <c r="U352" s="3">
        <v>120</v>
      </c>
      <c r="V352" s="3" t="str">
        <f>IFERROR(MID(VLOOKUP($B352,Seqs!$A:$B,2,0),W352,1),"")</f>
        <v>Y</v>
      </c>
      <c r="W352" s="3">
        <v>155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9">
        <v>161</v>
      </c>
      <c r="AD352" s="3" t="str">
        <f>IFERROR(MID(VLOOKUP($B352,Seqs!$A:$B,2,0),AE352,1),"")</f>
        <v>S</v>
      </c>
      <c r="AE352" s="3">
        <v>190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D</v>
      </c>
      <c r="AI352" s="3">
        <v>204</v>
      </c>
      <c r="AJ352" s="3" t="str">
        <f>IFERROR(MID(VLOOKUP($B352,Seqs!$A:$B,2,0),AK352,1),"")</f>
        <v>L</v>
      </c>
      <c r="AK352" s="3">
        <v>211</v>
      </c>
      <c r="AL352" s="3" t="str">
        <f>IFERROR(MID(VLOOKUP($B352,Seqs!$A:$B,2,0),AM352,1),"")</f>
        <v>K</v>
      </c>
      <c r="AM352" s="3">
        <v>247</v>
      </c>
      <c r="AN352" s="3" t="str">
        <f>IFERROR(MID(VLOOKUP($B352,Seqs!$A:$B,2,0),AO352,1),"")</f>
        <v>P</v>
      </c>
      <c r="AO352" s="3">
        <v>253</v>
      </c>
      <c r="AP352" s="3" t="str">
        <f>IFERROR(MID(VLOOKUP($B352,Seqs!$A:$B,2,0),AQ352,1),"")</f>
        <v>D</v>
      </c>
      <c r="AQ352" s="3">
        <v>289</v>
      </c>
      <c r="AR352" s="3" t="str">
        <f>IFERROR(MID(VLOOKUP($B352,Seqs!$A:$B,2,0),AS352,1),"")</f>
        <v>M</v>
      </c>
      <c r="AS352" s="3">
        <v>295</v>
      </c>
      <c r="AT352" s="3" t="str">
        <f>IFERROR(MID(VLOOKUP($B352,Seqs!$A:$B,2,0),AU352,1),"")</f>
        <v>L</v>
      </c>
      <c r="AU352" s="3">
        <v>326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P2Y</v>
      </c>
      <c r="BB352" s="27" t="b">
        <f t="shared" si="2542"/>
        <v>1</v>
      </c>
      <c r="BC352" s="23">
        <f t="shared" si="2515"/>
        <v>243</v>
      </c>
      <c r="BD352" s="4" t="s">
        <v>23</v>
      </c>
      <c r="BE352" s="3" t="s">
        <v>1422</v>
      </c>
      <c r="BF352" s="118">
        <v>2.2000000000000002</v>
      </c>
      <c r="BG352" s="49" t="s">
        <v>1371</v>
      </c>
      <c r="BH352" s="49" t="s">
        <v>1371</v>
      </c>
      <c r="BI352" s="3" t="s">
        <v>1162</v>
      </c>
      <c r="BJ352" s="70" t="s">
        <v>1281</v>
      </c>
      <c r="BK352" s="57" t="s">
        <v>1281</v>
      </c>
      <c r="BL352" s="57" t="s">
        <v>1281</v>
      </c>
      <c r="BM352" s="57" t="s">
        <v>1281</v>
      </c>
      <c r="BN352" s="57" t="s">
        <v>1281</v>
      </c>
      <c r="BO352" s="57" t="s">
        <v>1281</v>
      </c>
      <c r="BP352" s="57" t="s">
        <v>1281</v>
      </c>
      <c r="BQ352" s="57" t="s">
        <v>1281</v>
      </c>
      <c r="BR352" s="57" t="s">
        <v>1281</v>
      </c>
      <c r="BS352" s="57" t="s">
        <v>1281</v>
      </c>
      <c r="BT352" s="57" t="s">
        <v>1281</v>
      </c>
      <c r="BU352" s="57" t="s">
        <v>1281</v>
      </c>
      <c r="BV352" s="70">
        <f t="shared" si="2516"/>
        <v>49</v>
      </c>
      <c r="BW352" s="71" t="str">
        <f t="shared" si="2517"/>
        <v>-</v>
      </c>
      <c r="BX352" s="72">
        <f t="shared" si="2518"/>
        <v>84</v>
      </c>
      <c r="BY352" s="71">
        <f t="shared" si="2519"/>
        <v>116</v>
      </c>
      <c r="BZ352" s="72">
        <f t="shared" si="2520"/>
        <v>120</v>
      </c>
      <c r="CA352" s="71" t="str">
        <f t="shared" si="2521"/>
        <v>-</v>
      </c>
      <c r="CB352" s="72">
        <f t="shared" si="2522"/>
        <v>161</v>
      </c>
      <c r="CC352" s="71">
        <f t="shared" si="2523"/>
        <v>202</v>
      </c>
      <c r="CD352" s="72">
        <f t="shared" si="2524"/>
        <v>211</v>
      </c>
      <c r="CE352" s="71">
        <f t="shared" si="2525"/>
        <v>253</v>
      </c>
      <c r="CF352" s="72">
        <f t="shared" si="2526"/>
        <v>295</v>
      </c>
      <c r="CG352" s="71" t="str">
        <f t="shared" si="2527"/>
        <v>-</v>
      </c>
      <c r="CH352" s="70">
        <f t="shared" si="2528"/>
        <v>79</v>
      </c>
      <c r="CI352" s="71" t="str">
        <f t="shared" si="2529"/>
        <v>-</v>
      </c>
      <c r="CJ352" s="72">
        <f t="shared" si="2530"/>
        <v>113</v>
      </c>
      <c r="CK352" s="72">
        <f t="shared" si="2531"/>
        <v>119</v>
      </c>
      <c r="CL352" s="72">
        <f t="shared" si="2532"/>
        <v>155</v>
      </c>
      <c r="CM352" s="72" t="str">
        <f t="shared" si="2533"/>
        <v>-</v>
      </c>
      <c r="CN352" s="72">
        <f t="shared" si="2534"/>
        <v>190</v>
      </c>
      <c r="CO352" s="72">
        <f t="shared" si="2535"/>
        <v>204</v>
      </c>
      <c r="CP352" s="72">
        <f t="shared" si="2536"/>
        <v>247</v>
      </c>
      <c r="CQ352" s="72">
        <f t="shared" si="2537"/>
        <v>289</v>
      </c>
      <c r="CR352" s="72">
        <f t="shared" si="2538"/>
        <v>326</v>
      </c>
      <c r="CS352" s="72" t="str">
        <f t="shared" si="2539"/>
        <v>-</v>
      </c>
      <c r="CT352" s="23" t="e">
        <f t="shared" si="2540"/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2541"/>
        <v>p2ry1_human_4XNW</v>
      </c>
      <c r="B353" s="3" t="s">
        <v>344</v>
      </c>
      <c r="C353" s="3" t="s">
        <v>1049</v>
      </c>
      <c r="D353" s="3" t="str">
        <f>IFERROR(MID(VLOOKUP($B353,Seqs!$A:$B,2,0),E353,1),"")</f>
        <v>F</v>
      </c>
      <c r="E353" s="3">
        <v>49</v>
      </c>
      <c r="F353" s="3" t="str">
        <f>IFERROR(MID(VLOOKUP($B353,Seqs!$A:$B,2,0),G353,1),"")</f>
        <v>H</v>
      </c>
      <c r="G353" s="3">
        <v>79</v>
      </c>
      <c r="H353" s="3" t="str">
        <f>IFERROR(MID(VLOOKUP($B353,Seqs!$A:$B,2,0),I353,1),"")</f>
        <v/>
      </c>
      <c r="I353" s="23" t="s">
        <v>23</v>
      </c>
      <c r="J353" s="3" t="str">
        <f>IFERROR(MID(VLOOKUP($B353,Seqs!$A:$B,2,0),K353,1),"")</f>
        <v/>
      </c>
      <c r="K353" s="23" t="s">
        <v>23</v>
      </c>
      <c r="L353" s="3" t="str">
        <f>IFERROR(MID(VLOOKUP($B353,Seqs!$A:$B,2,0),M353,1),"")</f>
        <v>S</v>
      </c>
      <c r="M353" s="3">
        <v>84</v>
      </c>
      <c r="N353" s="3" t="str">
        <f>IFERROR(MID(VLOOKUP($B353,Seqs!$A:$B,2,0),O353,1),"")</f>
        <v>N</v>
      </c>
      <c r="O353" s="3">
        <v>113</v>
      </c>
      <c r="P353" s="3" t="str">
        <f>IFERROR(MID(VLOOKUP($B353,Seqs!$A:$B,2,0),Q353,1),"")</f>
        <v>D</v>
      </c>
      <c r="Q353" s="3">
        <v>116</v>
      </c>
      <c r="R353" s="3" t="str">
        <f>IFERROR(MID(VLOOKUP($B353,Seqs!$A:$B,2,0),S353,1),"")</f>
        <v>F</v>
      </c>
      <c r="S353" s="3">
        <v>119</v>
      </c>
      <c r="T353" s="3" t="str">
        <f>IFERROR(MID(VLOOKUP($B353,Seqs!$A:$B,2,0),U353,1),"")</f>
        <v>G</v>
      </c>
      <c r="U353" s="3">
        <v>120</v>
      </c>
      <c r="V353" s="3" t="str">
        <f>IFERROR(MID(VLOOKUP($B353,Seqs!$A:$B,2,0),W353,1),"")</f>
        <v>Y</v>
      </c>
      <c r="W353" s="3">
        <v>155</v>
      </c>
      <c r="X353" s="3" t="str">
        <f>IFERROR(MID(VLOOKUP($B353,Seqs!$A:$B,2,0),Y353,1),"")</f>
        <v>P</v>
      </c>
      <c r="Y353" s="3">
        <v>156</v>
      </c>
      <c r="Z353" s="3" t="str">
        <f>IFERROR(MID(VLOOKUP($B353,Seqs!$A:$B,2,0),AA353,1),"")</f>
        <v>L</v>
      </c>
      <c r="AA353" s="3">
        <v>163</v>
      </c>
      <c r="AB353" s="3" t="str">
        <f>IFERROR(MID(VLOOKUP($B353,Seqs!$A:$B,2,0),AC353,1),"")</f>
        <v>K</v>
      </c>
      <c r="AC353" s="9">
        <v>164</v>
      </c>
      <c r="AD353" s="3" t="str">
        <f>IFERROR(MID(VLOOKUP($B353,Seqs!$A:$B,2,0),AE353,1),"")</f>
        <v>S</v>
      </c>
      <c r="AE353" s="3">
        <v>190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D</v>
      </c>
      <c r="AI353" s="3">
        <v>204</v>
      </c>
      <c r="AJ353" s="3" t="str">
        <f>IFERROR(MID(VLOOKUP($B353,Seqs!$A:$B,2,0),AK353,1),"")</f>
        <v>L</v>
      </c>
      <c r="AK353" s="3">
        <v>211</v>
      </c>
      <c r="AL353" s="3" t="str">
        <f>IFERROR(MID(VLOOKUP($B353,Seqs!$A:$B,2,0),AM353,1),"")</f>
        <v>K</v>
      </c>
      <c r="AM353" s="3">
        <v>247</v>
      </c>
      <c r="AN353" s="3" t="str">
        <f>IFERROR(MID(VLOOKUP($B353,Seqs!$A:$B,2,0),AO353,1),"")</f>
        <v>P</v>
      </c>
      <c r="AO353" s="3">
        <v>253</v>
      </c>
      <c r="AP353" s="3" t="str">
        <f>IFERROR(MID(VLOOKUP($B353,Seqs!$A:$B,2,0),AQ353,1),"")</f>
        <v>D</v>
      </c>
      <c r="AQ353" s="3">
        <v>289</v>
      </c>
      <c r="AR353" s="3" t="str">
        <f>IFERROR(MID(VLOOKUP($B353,Seqs!$A:$B,2,0),AS353,1),"")</f>
        <v>M</v>
      </c>
      <c r="AS353" s="3">
        <v>295</v>
      </c>
      <c r="AT353" s="3" t="str">
        <f>IFERROR(MID(VLOOKUP($B353,Seqs!$A:$B,2,0),AU353,1),"")</f>
        <v>L</v>
      </c>
      <c r="AU353" s="3">
        <v>326</v>
      </c>
      <c r="AV353" s="3" t="str">
        <f>IFERROR(MID(VLOOKUP($B353,Seqs!$A:$B,2,0),AW353,1),"")</f>
        <v/>
      </c>
      <c r="AW353" s="3" t="s">
        <v>23</v>
      </c>
      <c r="AX353" s="3" t="str">
        <f>IFERROR(MID(VLOOKUP($B353,Seqs!$A:$B,2,0),AY353,1),"")</f>
        <v/>
      </c>
      <c r="AY353" s="3" t="s">
        <v>23</v>
      </c>
      <c r="AZ353" s="77" t="str">
        <f>VLOOKUP(B353,Classification!A:D,2,0)</f>
        <v>A</v>
      </c>
      <c r="BA353" s="94" t="str">
        <f>VLOOKUP(B353,Classification!A:D,4,0)</f>
        <v>P2Y</v>
      </c>
      <c r="BB353" s="27" t="b">
        <f t="shared" si="2542"/>
        <v>1</v>
      </c>
      <c r="BC353" s="23">
        <f t="shared" si="2515"/>
        <v>247</v>
      </c>
      <c r="BD353" s="2" t="s">
        <v>1423</v>
      </c>
      <c r="BE353" s="3" t="s">
        <v>1422</v>
      </c>
      <c r="BF353" s="118">
        <v>2.7</v>
      </c>
      <c r="BG353" s="49" t="s">
        <v>1371</v>
      </c>
      <c r="BH353" s="49" t="s">
        <v>1371</v>
      </c>
      <c r="BI353" s="1"/>
      <c r="BJ353" s="70" t="s">
        <v>1281</v>
      </c>
      <c r="BK353" s="57" t="s">
        <v>1281</v>
      </c>
      <c r="BL353" s="57" t="s">
        <v>1281</v>
      </c>
      <c r="BM353" s="57" t="s">
        <v>1281</v>
      </c>
      <c r="BN353" s="57" t="s">
        <v>1281</v>
      </c>
      <c r="BO353" s="57" t="s">
        <v>1281</v>
      </c>
      <c r="BP353" s="57" t="s">
        <v>1281</v>
      </c>
      <c r="BQ353" s="57" t="s">
        <v>1281</v>
      </c>
      <c r="BR353" s="57" t="s">
        <v>1281</v>
      </c>
      <c r="BS353" s="57" t="s">
        <v>1281</v>
      </c>
      <c r="BT353" s="57" t="s">
        <v>1281</v>
      </c>
      <c r="BU353" s="57" t="s">
        <v>1281</v>
      </c>
      <c r="BV353" s="70">
        <f t="shared" si="2516"/>
        <v>49</v>
      </c>
      <c r="BW353" s="71" t="str">
        <f t="shared" si="2517"/>
        <v>-</v>
      </c>
      <c r="BX353" s="72">
        <f t="shared" si="2518"/>
        <v>84</v>
      </c>
      <c r="BY353" s="71">
        <f t="shared" si="2519"/>
        <v>116</v>
      </c>
      <c r="BZ353" s="72">
        <f t="shared" si="2520"/>
        <v>120</v>
      </c>
      <c r="CA353" s="71">
        <f t="shared" si="2521"/>
        <v>156</v>
      </c>
      <c r="CB353" s="72">
        <f t="shared" si="2522"/>
        <v>164</v>
      </c>
      <c r="CC353" s="71">
        <f t="shared" si="2523"/>
        <v>202</v>
      </c>
      <c r="CD353" s="72">
        <f t="shared" si="2524"/>
        <v>211</v>
      </c>
      <c r="CE353" s="71">
        <f t="shared" si="2525"/>
        <v>253</v>
      </c>
      <c r="CF353" s="72">
        <f t="shared" si="2526"/>
        <v>295</v>
      </c>
      <c r="CG353" s="71" t="str">
        <f t="shared" si="2527"/>
        <v>-</v>
      </c>
      <c r="CH353" s="70">
        <f t="shared" si="2528"/>
        <v>79</v>
      </c>
      <c r="CI353" s="71" t="str">
        <f t="shared" si="2529"/>
        <v>-</v>
      </c>
      <c r="CJ353" s="72">
        <f t="shared" si="2530"/>
        <v>113</v>
      </c>
      <c r="CK353" s="72">
        <f t="shared" si="2531"/>
        <v>119</v>
      </c>
      <c r="CL353" s="72">
        <f t="shared" si="2532"/>
        <v>155</v>
      </c>
      <c r="CM353" s="72">
        <f t="shared" si="2533"/>
        <v>163</v>
      </c>
      <c r="CN353" s="72">
        <f t="shared" si="2534"/>
        <v>190</v>
      </c>
      <c r="CO353" s="72">
        <f t="shared" si="2535"/>
        <v>204</v>
      </c>
      <c r="CP353" s="72">
        <f t="shared" si="2536"/>
        <v>247</v>
      </c>
      <c r="CQ353" s="72">
        <f t="shared" si="2537"/>
        <v>289</v>
      </c>
      <c r="CR353" s="72">
        <f t="shared" si="2538"/>
        <v>326</v>
      </c>
      <c r="CS353" s="72" t="str">
        <f t="shared" si="2539"/>
        <v>-</v>
      </c>
      <c r="CT353" s="23" t="e">
        <f t="shared" si="2540"/>
        <v>#VALUE!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2541"/>
        <v>p2y12_human__wt</v>
      </c>
      <c r="B354" s="3" t="s">
        <v>351</v>
      </c>
      <c r="C354" s="3" t="s">
        <v>100</v>
      </c>
      <c r="D354" s="3" t="str">
        <f>IFERROR(MID(VLOOKUP($B354,Seqs!$A:$B,2,0),E354,1),"")</f>
        <v>Y</v>
      </c>
      <c r="E354" s="3">
        <v>21</v>
      </c>
      <c r="F354" s="3" t="str">
        <f>IFERROR(MID(VLOOKUP($B354,Seqs!$A:$B,2,0),G354,1),"")</f>
        <v>I</v>
      </c>
      <c r="G354" s="3">
        <v>53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S</v>
      </c>
      <c r="M354" s="3">
        <v>57</v>
      </c>
      <c r="N354" s="3" t="str">
        <f>IFERROR(MID(VLOOKUP($B354,Seqs!$A:$B,2,0),O354,1),"")</f>
        <v>K</v>
      </c>
      <c r="O354" s="3">
        <v>86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G</v>
      </c>
      <c r="U354" s="3">
        <v>90</v>
      </c>
      <c r="V354" s="3" t="str">
        <f>IFERROR(MID(VLOOKUP($B354,Seqs!$A:$B,2,0),W354,1),"")</f>
        <v>R</v>
      </c>
      <c r="W354" s="3">
        <v>128</v>
      </c>
      <c r="X354" s="3" t="str">
        <f>IFERROR(MID(VLOOKUP($B354,Seqs!$A:$B,2,0),Y354,1),"")</f>
        <v>P</v>
      </c>
      <c r="Y354" s="3">
        <v>129</v>
      </c>
      <c r="Z354" s="3" t="str">
        <f>IFERROR(MID(VLOOKUP($B354,Seqs!$A:$B,2,0),AA354,1),"")</f>
        <v>K</v>
      </c>
      <c r="AA354" s="73">
        <v>136</v>
      </c>
      <c r="AB354" s="3" t="str">
        <f>IFERROR(MID(VLOOKUP($B354,Seqs!$A:$B,2,0),AC354,1),"")</f>
        <v>N</v>
      </c>
      <c r="AC354" s="9">
        <v>137</v>
      </c>
      <c r="AD354" s="3" t="str">
        <f>IFERROR(MID(VLOOKUP($B354,Seqs!$A:$B,2,0),AE354,1),"")</f>
        <v>T</v>
      </c>
      <c r="AE354" s="3">
        <v>163</v>
      </c>
      <c r="AF354" s="3" t="str">
        <f>IFERROR(MID(VLOOKUP($B354,Seqs!$A:$B,2,0),AG354,1),"")</f>
        <v>C</v>
      </c>
      <c r="AG354" s="3">
        <v>175</v>
      </c>
      <c r="AH354" s="3" t="str">
        <f>IFERROR(MID(VLOOKUP($B354,Seqs!$A:$B,2,0),AI354,1),"")</f>
        <v>F</v>
      </c>
      <c r="AI354" s="3">
        <v>177</v>
      </c>
      <c r="AJ354" s="3" t="str">
        <f>IFERROR(MID(VLOOKUP($B354,Seqs!$A:$B,2,0),AK354,1),"")</f>
        <v>E</v>
      </c>
      <c r="AK354" s="3">
        <v>181</v>
      </c>
      <c r="AL354" s="3" t="str">
        <f>IFERROR(MID(VLOOKUP($B354,Seqs!$A:$B,2,0),AM354,1),"")</f>
        <v>T</v>
      </c>
      <c r="AM354" s="3">
        <v>223</v>
      </c>
      <c r="AN354" s="3" t="str">
        <f>IFERROR(MID(VLOOKUP($B354,Seqs!$A:$B,2,0),AO354,1),"")</f>
        <v>P</v>
      </c>
      <c r="AO354" s="3">
        <v>230</v>
      </c>
      <c r="AP354" s="3" t="str">
        <f>IFERROR(MID(VLOOKUP($B354,Seqs!$A:$B,2,0),AQ354,1),"")</f>
        <v>R</v>
      </c>
      <c r="AQ354" s="3">
        <v>265</v>
      </c>
      <c r="AR354" s="3" t="str">
        <f>IFERROR(MID(VLOOKUP($B354,Seqs!$A:$B,2,0),AS354,1),"")</f>
        <v>D</v>
      </c>
      <c r="AS354" s="3">
        <v>269</v>
      </c>
      <c r="AT354" s="3" t="str">
        <f>IFERROR(MID(VLOOKUP($B354,Seqs!$A:$B,2,0),AU354,1),"")</f>
        <v>L</v>
      </c>
      <c r="AU354" s="3">
        <v>301</v>
      </c>
      <c r="AV354" s="3" t="str">
        <f>IFERROR(MID(VLOOKUP($B354,Seqs!$A:$B,2,0),AW354,1),"")</f>
        <v>C</v>
      </c>
      <c r="AW354" s="3">
        <v>302</v>
      </c>
      <c r="AX354" s="3" t="str">
        <f>IFERROR(MID(VLOOKUP($B354,Seqs!$A:$B,2,0),AY354,1),"")</f>
        <v>M</v>
      </c>
      <c r="AY354" s="3">
        <v>312</v>
      </c>
      <c r="AZ354" s="77" t="str">
        <f>VLOOKUP(B354,Classification!A:D,2,0)</f>
        <v>A</v>
      </c>
      <c r="BA354" s="94" t="str">
        <f>VLOOKUP(B354,Classification!A:D,4,0)</f>
        <v>P2Y</v>
      </c>
      <c r="BB354" s="27" t="b">
        <f t="shared" si="2542"/>
        <v>1</v>
      </c>
      <c r="BC354" s="23">
        <f t="shared" si="2515"/>
        <v>265</v>
      </c>
      <c r="BD354" s="56" t="s">
        <v>23</v>
      </c>
      <c r="BE354" s="3" t="s">
        <v>23</v>
      </c>
      <c r="BF354" s="118" t="s">
        <v>23</v>
      </c>
      <c r="BG354" s="49" t="s">
        <v>1366</v>
      </c>
      <c r="BH354" s="49" t="s">
        <v>1371</v>
      </c>
      <c r="BI354" s="1"/>
      <c r="BJ354" s="70" t="s">
        <v>1281</v>
      </c>
      <c r="BK354" s="57" t="s">
        <v>1281</v>
      </c>
      <c r="BL354" s="57" t="s">
        <v>1281</v>
      </c>
      <c r="BM354" s="57" t="s">
        <v>1281</v>
      </c>
      <c r="BN354" s="57" t="s">
        <v>1281</v>
      </c>
      <c r="BO354" s="57" t="s">
        <v>1281</v>
      </c>
      <c r="BP354" s="57" t="s">
        <v>1281</v>
      </c>
      <c r="BQ354" s="57" t="s">
        <v>1281</v>
      </c>
      <c r="BR354" s="57" t="s">
        <v>1281</v>
      </c>
      <c r="BS354" s="57" t="s">
        <v>1281</v>
      </c>
      <c r="BT354" s="57" t="s">
        <v>1281</v>
      </c>
      <c r="BU354" s="57" t="s">
        <v>1281</v>
      </c>
      <c r="BV354" s="70">
        <f t="shared" si="2516"/>
        <v>21</v>
      </c>
      <c r="BW354" s="71" t="str">
        <f t="shared" si="2517"/>
        <v>-</v>
      </c>
      <c r="BX354" s="72">
        <f t="shared" si="2518"/>
        <v>57</v>
      </c>
      <c r="BY354" s="71" t="str">
        <f t="shared" si="2519"/>
        <v>-</v>
      </c>
      <c r="BZ354" s="72">
        <f t="shared" si="2520"/>
        <v>90</v>
      </c>
      <c r="CA354" s="71">
        <f t="shared" si="2521"/>
        <v>129</v>
      </c>
      <c r="CB354" s="72">
        <f t="shared" si="2522"/>
        <v>137</v>
      </c>
      <c r="CC354" s="71">
        <f t="shared" si="2523"/>
        <v>175</v>
      </c>
      <c r="CD354" s="72">
        <f t="shared" si="2524"/>
        <v>181</v>
      </c>
      <c r="CE354" s="71">
        <f t="shared" si="2525"/>
        <v>230</v>
      </c>
      <c r="CF354" s="72">
        <f t="shared" si="2526"/>
        <v>269</v>
      </c>
      <c r="CG354" s="71">
        <f t="shared" si="2527"/>
        <v>302</v>
      </c>
      <c r="CH354" s="70">
        <f t="shared" si="2528"/>
        <v>53</v>
      </c>
      <c r="CI354" s="71" t="str">
        <f t="shared" si="2529"/>
        <v>-</v>
      </c>
      <c r="CJ354" s="72">
        <f t="shared" si="2530"/>
        <v>86</v>
      </c>
      <c r="CK354" s="72" t="str">
        <f t="shared" si="2531"/>
        <v>-</v>
      </c>
      <c r="CL354" s="72">
        <f t="shared" si="2532"/>
        <v>128</v>
      </c>
      <c r="CM354" s="72">
        <f t="shared" si="2533"/>
        <v>136</v>
      </c>
      <c r="CN354" s="72">
        <f t="shared" si="2534"/>
        <v>163</v>
      </c>
      <c r="CO354" s="72">
        <f t="shared" si="2535"/>
        <v>177</v>
      </c>
      <c r="CP354" s="72">
        <f t="shared" si="2536"/>
        <v>223</v>
      </c>
      <c r="CQ354" s="72">
        <f t="shared" si="2537"/>
        <v>265</v>
      </c>
      <c r="CR354" s="72">
        <f t="shared" si="2538"/>
        <v>301</v>
      </c>
      <c r="CS354" s="72">
        <f t="shared" si="2539"/>
        <v>312</v>
      </c>
      <c r="CT354" s="23" t="e">
        <f t="shared" si="2540"/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si="2541"/>
        <v>p2y12_human_4NTJ</v>
      </c>
      <c r="B355" s="3" t="s">
        <v>351</v>
      </c>
      <c r="C355" s="3" t="s">
        <v>1042</v>
      </c>
      <c r="D355" s="3" t="str">
        <f>IFERROR(MID(VLOOKUP($B355,Seqs!$A:$B,2,0),E355,1),"")</f>
        <v>Y</v>
      </c>
      <c r="E355" s="3">
        <v>21</v>
      </c>
      <c r="F355" s="3" t="str">
        <f>IFERROR(MID(VLOOKUP($B355,Seqs!$A:$B,2,0),G355,1),"")</f>
        <v>I</v>
      </c>
      <c r="G355" s="3">
        <v>53</v>
      </c>
      <c r="H355" s="3" t="str">
        <f>IFERROR(MID(VLOOKUP($B355,Seqs!$A:$B,2,0),I355,1),"")</f>
        <v/>
      </c>
      <c r="I355" s="23" t="s">
        <v>23</v>
      </c>
      <c r="J355" s="3" t="str">
        <f>IFERROR(MID(VLOOKUP($B355,Seqs!$A:$B,2,0),K355,1),"")</f>
        <v/>
      </c>
      <c r="K355" s="23" t="s">
        <v>23</v>
      </c>
      <c r="L355" s="3" t="str">
        <f>IFERROR(MID(VLOOKUP($B355,Seqs!$A:$B,2,0),M355,1),"")</f>
        <v>S</v>
      </c>
      <c r="M355" s="3">
        <v>57</v>
      </c>
      <c r="N355" s="3" t="str">
        <f>IFERROR(MID(VLOOKUP($B355,Seqs!$A:$B,2,0),O355,1),"")</f>
        <v>K</v>
      </c>
      <c r="O355" s="3">
        <v>86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L</v>
      </c>
      <c r="U355" s="3">
        <v>92</v>
      </c>
      <c r="V355" s="3" t="str">
        <f>IFERROR(MID(VLOOKUP($B355,Seqs!$A:$B,2,0),W355,1),"")</f>
        <v>R</v>
      </c>
      <c r="W355" s="3">
        <v>128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N</v>
      </c>
      <c r="AC355" s="9">
        <v>137</v>
      </c>
      <c r="AD355" s="3" t="str">
        <f>IFERROR(MID(VLOOKUP($B355,Seqs!$A:$B,2,0),AE355,1),"")</f>
        <v>L</v>
      </c>
      <c r="AE355" s="3">
        <v>162</v>
      </c>
      <c r="AF355" s="3" t="str">
        <f>IFERROR(MID(VLOOKUP($B355,Seqs!$A:$B,2,0),AG355,1),"")</f>
        <v>C</v>
      </c>
      <c r="AG355" s="3">
        <v>175</v>
      </c>
      <c r="AH355" s="3" t="str">
        <f>IFERROR(MID(VLOOKUP($B355,Seqs!$A:$B,2,0),AI355,1),"")</f>
        <v>F</v>
      </c>
      <c r="AI355" s="3">
        <v>177</v>
      </c>
      <c r="AJ355" s="3" t="str">
        <f>IFERROR(MID(VLOOKUP($B355,Seqs!$A:$B,2,0),AK355,1),"")</f>
        <v>E</v>
      </c>
      <c r="AK355" s="3">
        <v>181</v>
      </c>
      <c r="AL355" s="3" t="str">
        <f>IFERROR(MID(VLOOKUP($B355,Seqs!$A:$B,2,0),AM355,1),"")</f>
        <v>T</v>
      </c>
      <c r="AM355" s="3">
        <v>223</v>
      </c>
      <c r="AN355" s="3" t="str">
        <f>IFERROR(MID(VLOOKUP($B355,Seqs!$A:$B,2,0),AO355,1),"")</f>
        <v>I</v>
      </c>
      <c r="AO355" s="3">
        <v>240</v>
      </c>
      <c r="AP355" s="3" t="str">
        <f>IFERROR(MID(VLOOKUP($B355,Seqs!$A:$B,2,0),AQ355,1),"")</f>
        <v>L</v>
      </c>
      <c r="AQ355" s="3">
        <v>261</v>
      </c>
      <c r="AR355" s="3" t="str">
        <f>IFERROR(MID(VLOOKUP($B355,Seqs!$A:$B,2,0),AS355,1),"")</f>
        <v>D</v>
      </c>
      <c r="AS355" s="3">
        <v>269</v>
      </c>
      <c r="AT355" s="3" t="str">
        <f>IFERROR(MID(VLOOKUP($B355,Seqs!$A:$B,2,0),AU355,1),"")</f>
        <v>L</v>
      </c>
      <c r="AU355" s="3">
        <v>301</v>
      </c>
      <c r="AV355" s="3" t="str">
        <f>IFERROR(MID(VLOOKUP($B355,Seqs!$A:$B,2,0),AW355,1),"")</f>
        <v>C</v>
      </c>
      <c r="AW355" s="3">
        <v>302</v>
      </c>
      <c r="AX355" s="3" t="str">
        <f>IFERROR(MID(VLOOKUP($B355,Seqs!$A:$B,2,0),AY355,1),"")</f>
        <v>M</v>
      </c>
      <c r="AY355" s="3">
        <v>312</v>
      </c>
      <c r="AZ355" s="77" t="str">
        <f>VLOOKUP(B355,Classification!A:D,2,0)</f>
        <v>A</v>
      </c>
      <c r="BA355" s="94" t="str">
        <f>VLOOKUP(B355,Classification!A:D,4,0)</f>
        <v>P2Y</v>
      </c>
      <c r="BB355" s="27" t="b">
        <f t="shared" si="2542"/>
        <v>1</v>
      </c>
      <c r="BC355" s="23">
        <f t="shared" si="2515"/>
        <v>241</v>
      </c>
      <c r="BD355" s="2" t="s">
        <v>1423</v>
      </c>
      <c r="BE355" s="3" t="s">
        <v>1422</v>
      </c>
      <c r="BF355" s="118">
        <v>2.62</v>
      </c>
      <c r="BG355" s="49" t="s">
        <v>1371</v>
      </c>
      <c r="BH355" s="49" t="s">
        <v>1371</v>
      </c>
      <c r="BI355" s="3" t="s">
        <v>1164</v>
      </c>
      <c r="BJ355" s="70" t="s">
        <v>1281</v>
      </c>
      <c r="BK355" s="57" t="s">
        <v>1281</v>
      </c>
      <c r="BL355" s="57" t="s">
        <v>1281</v>
      </c>
      <c r="BM355" s="57" t="s">
        <v>1281</v>
      </c>
      <c r="BN355" s="57" t="s">
        <v>1281</v>
      </c>
      <c r="BO355" s="57" t="s">
        <v>1281</v>
      </c>
      <c r="BP355" s="57" t="s">
        <v>1281</v>
      </c>
      <c r="BQ355" s="57" t="s">
        <v>1281</v>
      </c>
      <c r="BR355" s="57" t="s">
        <v>1281</v>
      </c>
      <c r="BS355" s="57" t="s">
        <v>1281</v>
      </c>
      <c r="BT355" s="57" t="s">
        <v>1281</v>
      </c>
      <c r="BU355" s="57" t="s">
        <v>1281</v>
      </c>
      <c r="BV355" s="70">
        <f t="shared" si="2516"/>
        <v>21</v>
      </c>
      <c r="BW355" s="71" t="str">
        <f t="shared" si="2517"/>
        <v>-</v>
      </c>
      <c r="BX355" s="72">
        <f t="shared" si="2518"/>
        <v>57</v>
      </c>
      <c r="BY355" s="71" t="str">
        <f t="shared" si="2519"/>
        <v>-</v>
      </c>
      <c r="BZ355" s="72">
        <f t="shared" si="2520"/>
        <v>92</v>
      </c>
      <c r="CA355" s="71" t="str">
        <f t="shared" si="2521"/>
        <v>-</v>
      </c>
      <c r="CB355" s="72">
        <f t="shared" si="2522"/>
        <v>137</v>
      </c>
      <c r="CC355" s="71">
        <f t="shared" si="2523"/>
        <v>175</v>
      </c>
      <c r="CD355" s="72">
        <f t="shared" si="2524"/>
        <v>181</v>
      </c>
      <c r="CE355" s="71">
        <f t="shared" si="2525"/>
        <v>240</v>
      </c>
      <c r="CF355" s="72">
        <f t="shared" si="2526"/>
        <v>269</v>
      </c>
      <c r="CG355" s="71">
        <f t="shared" si="2527"/>
        <v>302</v>
      </c>
      <c r="CH355" s="70">
        <f t="shared" si="2528"/>
        <v>53</v>
      </c>
      <c r="CI355" s="71" t="str">
        <f t="shared" si="2529"/>
        <v>-</v>
      </c>
      <c r="CJ355" s="72">
        <f t="shared" si="2530"/>
        <v>86</v>
      </c>
      <c r="CK355" s="72" t="str">
        <f t="shared" si="2531"/>
        <v>-</v>
      </c>
      <c r="CL355" s="72">
        <f t="shared" si="2532"/>
        <v>128</v>
      </c>
      <c r="CM355" s="72" t="str">
        <f t="shared" si="2533"/>
        <v>-</v>
      </c>
      <c r="CN355" s="72">
        <f t="shared" si="2534"/>
        <v>162</v>
      </c>
      <c r="CO355" s="72">
        <f t="shared" si="2535"/>
        <v>177</v>
      </c>
      <c r="CP355" s="72">
        <f t="shared" si="2536"/>
        <v>223</v>
      </c>
      <c r="CQ355" s="72">
        <f t="shared" si="2537"/>
        <v>261</v>
      </c>
      <c r="CR355" s="72">
        <f t="shared" si="2538"/>
        <v>301</v>
      </c>
      <c r="CS355" s="72">
        <f t="shared" si="2539"/>
        <v>312</v>
      </c>
      <c r="CT355" s="23" t="e">
        <f t="shared" si="2540"/>
        <v>#VALUE!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si="2541"/>
        <v>p2y12_human_4PXZ</v>
      </c>
      <c r="B356" s="3" t="s">
        <v>351</v>
      </c>
      <c r="C356" s="3" t="s">
        <v>1146</v>
      </c>
      <c r="D356" s="3" t="str">
        <f>IFERROR(MID(VLOOKUP($B356,Seqs!$A:$B,2,0),E356,1),"")</f>
        <v>I</v>
      </c>
      <c r="E356" s="3">
        <v>23</v>
      </c>
      <c r="F356" s="3" t="str">
        <f>IFERROR(MID(VLOOKUP($B356,Seqs!$A:$B,2,0),G356,1),"")</f>
        <v>I</v>
      </c>
      <c r="G356" s="3">
        <v>53</v>
      </c>
      <c r="H356" s="3" t="str">
        <f>IFERROR(MID(VLOOKUP($B356,Seqs!$A:$B,2,0),I356,1),"")</f>
        <v/>
      </c>
      <c r="I356" s="23" t="s">
        <v>23</v>
      </c>
      <c r="J356" s="3" t="str">
        <f>IFERROR(MID(VLOOKUP($B356,Seqs!$A:$B,2,0),K356,1),"")</f>
        <v/>
      </c>
      <c r="K356" s="23" t="s">
        <v>23</v>
      </c>
      <c r="L356" s="3" t="str">
        <f>IFERROR(MID(VLOOKUP($B356,Seqs!$A:$B,2,0),M356,1),"")</f>
        <v>S</v>
      </c>
      <c r="M356" s="3">
        <v>57</v>
      </c>
      <c r="N356" s="3" t="str">
        <f>IFERROR(MID(VLOOKUP($B356,Seqs!$A:$B,2,0),O356,1),"")</f>
        <v>K</v>
      </c>
      <c r="O356" s="3">
        <v>86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G</v>
      </c>
      <c r="U356" s="3">
        <v>90</v>
      </c>
      <c r="V356" s="3" t="str">
        <f>IFERROR(MID(VLOOKUP($B356,Seqs!$A:$B,2,0),W356,1),"")</f>
        <v>R</v>
      </c>
      <c r="W356" s="3">
        <v>128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N</v>
      </c>
      <c r="AC356" s="9">
        <v>137</v>
      </c>
      <c r="AD356" s="3" t="str">
        <f>IFERROR(MID(VLOOKUP($B356,Seqs!$A:$B,2,0),AE356,1),"")</f>
        <v>T</v>
      </c>
      <c r="AE356" s="3">
        <v>163</v>
      </c>
      <c r="AF356" s="3" t="str">
        <f>IFERROR(MID(VLOOKUP($B356,Seqs!$A:$B,2,0),AG356,1),"")</f>
        <v>C</v>
      </c>
      <c r="AG356" s="3">
        <v>175</v>
      </c>
      <c r="AH356" s="3" t="str">
        <f>IFERROR(MID(VLOOKUP($B356,Seqs!$A:$B,2,0),AI356,1),"")</f>
        <v>F</v>
      </c>
      <c r="AI356" s="3">
        <v>177</v>
      </c>
      <c r="AJ356" s="3" t="str">
        <f>IFERROR(MID(VLOOKUP($B356,Seqs!$A:$B,2,0),AK356,1),"")</f>
        <v>E</v>
      </c>
      <c r="AK356" s="3">
        <v>181</v>
      </c>
      <c r="AL356" s="3" t="str">
        <f>IFERROR(MID(VLOOKUP($B356,Seqs!$A:$B,2,0),AM356,1),"")</f>
        <v>S</v>
      </c>
      <c r="AM356" s="3">
        <v>219</v>
      </c>
      <c r="AN356" s="3" t="str">
        <f>IFERROR(MID(VLOOKUP($B356,Seqs!$A:$B,2,0),AO356,1),"")</f>
        <v>V</v>
      </c>
      <c r="AO356" s="3">
        <v>236</v>
      </c>
      <c r="AP356" s="3" t="str">
        <f>IFERROR(MID(VLOOKUP($B356,Seqs!$A:$B,2,0),AQ356,1),"")</f>
        <v>R</v>
      </c>
      <c r="AQ356" s="3">
        <v>265</v>
      </c>
      <c r="AR356" s="3" t="str">
        <f>IFERROR(MID(VLOOKUP($B356,Seqs!$A:$B,2,0),AS356,1),"")</f>
        <v>D</v>
      </c>
      <c r="AS356" s="3">
        <v>269</v>
      </c>
      <c r="AT356" s="3" t="str">
        <f>IFERROR(MID(VLOOKUP($B356,Seqs!$A:$B,2,0),AU356,1),"")</f>
        <v>C</v>
      </c>
      <c r="AU356" s="3">
        <v>292</v>
      </c>
      <c r="AV356" s="3" t="str">
        <f>IFERROR(MID(VLOOKUP($B356,Seqs!$A:$B,2,0),AW356,1),"")</f>
        <v/>
      </c>
      <c r="AW356" s="3" t="s">
        <v>23</v>
      </c>
      <c r="AX356" s="3" t="str">
        <f>IFERROR(MID(VLOOKUP($B356,Seqs!$A:$B,2,0),AY356,1),"")</f>
        <v/>
      </c>
      <c r="AY356" s="3" t="s">
        <v>23</v>
      </c>
      <c r="AZ356" s="77" t="str">
        <f>VLOOKUP(B356,Classification!A:D,2,0)</f>
        <v>A</v>
      </c>
      <c r="BA356" s="94" t="str">
        <f>VLOOKUP(B356,Classification!A:D,4,0)</f>
        <v>P2Y</v>
      </c>
      <c r="BB356" s="27" t="b">
        <f t="shared" si="2542"/>
        <v>1</v>
      </c>
      <c r="BC356" s="23">
        <f t="shared" si="2515"/>
        <v>227</v>
      </c>
      <c r="BD356" s="4" t="s">
        <v>23</v>
      </c>
      <c r="BE356" s="3" t="s">
        <v>1422</v>
      </c>
      <c r="BF356" s="118">
        <v>2.5</v>
      </c>
      <c r="BG356" s="49" t="s">
        <v>1371</v>
      </c>
      <c r="BH356" s="49" t="s">
        <v>1371</v>
      </c>
      <c r="BI356" s="1"/>
      <c r="BJ356" s="70" t="s">
        <v>1281</v>
      </c>
      <c r="BK356" s="57" t="s">
        <v>1281</v>
      </c>
      <c r="BL356" s="57" t="s">
        <v>1281</v>
      </c>
      <c r="BM356" s="57" t="s">
        <v>1281</v>
      </c>
      <c r="BN356" s="57" t="s">
        <v>1281</v>
      </c>
      <c r="BO356" s="57" t="s">
        <v>1281</v>
      </c>
      <c r="BP356" s="57" t="s">
        <v>1281</v>
      </c>
      <c r="BQ356" s="57" t="s">
        <v>1281</v>
      </c>
      <c r="BR356" s="57" t="s">
        <v>1281</v>
      </c>
      <c r="BS356" s="57" t="s">
        <v>1281</v>
      </c>
      <c r="BT356" s="57" t="s">
        <v>1281</v>
      </c>
      <c r="BU356" s="57" t="s">
        <v>1281</v>
      </c>
      <c r="BV356" s="70">
        <f t="shared" si="2516"/>
        <v>23</v>
      </c>
      <c r="BW356" s="71" t="str">
        <f t="shared" si="2517"/>
        <v>-</v>
      </c>
      <c r="BX356" s="72">
        <f t="shared" si="2518"/>
        <v>57</v>
      </c>
      <c r="BY356" s="71" t="str">
        <f t="shared" si="2519"/>
        <v>-</v>
      </c>
      <c r="BZ356" s="72">
        <f t="shared" si="2520"/>
        <v>90</v>
      </c>
      <c r="CA356" s="71" t="str">
        <f t="shared" si="2521"/>
        <v>-</v>
      </c>
      <c r="CB356" s="72">
        <f t="shared" si="2522"/>
        <v>137</v>
      </c>
      <c r="CC356" s="71">
        <f t="shared" si="2523"/>
        <v>175</v>
      </c>
      <c r="CD356" s="72">
        <f t="shared" si="2524"/>
        <v>181</v>
      </c>
      <c r="CE356" s="71">
        <f t="shared" si="2525"/>
        <v>236</v>
      </c>
      <c r="CF356" s="72">
        <f t="shared" si="2526"/>
        <v>269</v>
      </c>
      <c r="CG356" s="71" t="str">
        <f t="shared" si="2527"/>
        <v>-</v>
      </c>
      <c r="CH356" s="70">
        <f t="shared" si="2528"/>
        <v>53</v>
      </c>
      <c r="CI356" s="71" t="str">
        <f t="shared" si="2529"/>
        <v>-</v>
      </c>
      <c r="CJ356" s="72">
        <f t="shared" si="2530"/>
        <v>86</v>
      </c>
      <c r="CK356" s="72" t="str">
        <f t="shared" si="2531"/>
        <v>-</v>
      </c>
      <c r="CL356" s="72">
        <f t="shared" si="2532"/>
        <v>128</v>
      </c>
      <c r="CM356" s="72" t="str">
        <f t="shared" si="2533"/>
        <v>-</v>
      </c>
      <c r="CN356" s="72">
        <f t="shared" si="2534"/>
        <v>163</v>
      </c>
      <c r="CO356" s="72">
        <f t="shared" si="2535"/>
        <v>177</v>
      </c>
      <c r="CP356" s="72">
        <f t="shared" si="2536"/>
        <v>219</v>
      </c>
      <c r="CQ356" s="72">
        <f t="shared" si="2537"/>
        <v>265</v>
      </c>
      <c r="CR356" s="72">
        <f t="shared" si="2538"/>
        <v>292</v>
      </c>
      <c r="CS356" s="72" t="str">
        <f t="shared" si="2539"/>
        <v>-</v>
      </c>
      <c r="CT356" s="23" t="e">
        <f t="shared" si="2540"/>
        <v>#VALUE!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si="2541"/>
        <v>p2y12_human_4PY0</v>
      </c>
      <c r="B357" s="3" t="s">
        <v>351</v>
      </c>
      <c r="C357" s="3" t="s">
        <v>1044</v>
      </c>
      <c r="D357" s="3" t="str">
        <f>IFERROR(MID(VLOOKUP($B357,Seqs!$A:$B,2,0),E357,1),"")</f>
        <v>I</v>
      </c>
      <c r="E357" s="3">
        <v>23</v>
      </c>
      <c r="F357" s="3" t="str">
        <f>IFERROR(MID(VLOOKUP($B357,Seqs!$A:$B,2,0),G357,1),"")</f>
        <v>I</v>
      </c>
      <c r="G357" s="3">
        <v>53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S</v>
      </c>
      <c r="M357" s="3">
        <v>57</v>
      </c>
      <c r="N357" s="3" t="str">
        <f>IFERROR(MID(VLOOKUP($B357,Seqs!$A:$B,2,0),O357,1),"")</f>
        <v>K</v>
      </c>
      <c r="O357" s="3">
        <v>86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G</v>
      </c>
      <c r="U357" s="3">
        <v>90</v>
      </c>
      <c r="V357" s="3" t="str">
        <f>IFERROR(MID(VLOOKUP($B357,Seqs!$A:$B,2,0),W357,1),"")</f>
        <v>R</v>
      </c>
      <c r="W357" s="3">
        <v>128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N</v>
      </c>
      <c r="AC357" s="9">
        <v>137</v>
      </c>
      <c r="AD357" s="3" t="str">
        <f>IFERROR(MID(VLOOKUP($B357,Seqs!$A:$B,2,0),AE357,1),"")</f>
        <v>T</v>
      </c>
      <c r="AE357" s="3">
        <v>163</v>
      </c>
      <c r="AF357" s="3" t="str">
        <f>IFERROR(MID(VLOOKUP($B357,Seqs!$A:$B,2,0),AG357,1),"")</f>
        <v>C</v>
      </c>
      <c r="AG357" s="3">
        <v>175</v>
      </c>
      <c r="AH357" s="3" t="str">
        <f>IFERROR(MID(VLOOKUP($B357,Seqs!$A:$B,2,0),AI357,1),"")</f>
        <v>F</v>
      </c>
      <c r="AI357" s="3">
        <v>177</v>
      </c>
      <c r="AJ357" s="3" t="str">
        <f>IFERROR(MID(VLOOKUP($B357,Seqs!$A:$B,2,0),AK357,1),"")</f>
        <v>E</v>
      </c>
      <c r="AK357" s="3">
        <v>181</v>
      </c>
      <c r="AL357" s="3" t="str">
        <f>IFERROR(MID(VLOOKUP($B357,Seqs!$A:$B,2,0),AM357,1),"")</f>
        <v>S</v>
      </c>
      <c r="AM357" s="3">
        <v>219</v>
      </c>
      <c r="AN357" s="3" t="str">
        <f>IFERROR(MID(VLOOKUP($B357,Seqs!$A:$B,2,0),AO357,1),"")</f>
        <v>V</v>
      </c>
      <c r="AO357" s="3">
        <v>236</v>
      </c>
      <c r="AP357" s="3" t="str">
        <f>IFERROR(MID(VLOOKUP($B357,Seqs!$A:$B,2,0),AQ357,1),"")</f>
        <v>R</v>
      </c>
      <c r="AQ357" s="3">
        <v>265</v>
      </c>
      <c r="AR357" s="3" t="str">
        <f>IFERROR(MID(VLOOKUP($B357,Seqs!$A:$B,2,0),AS357,1),"")</f>
        <v>D</v>
      </c>
      <c r="AS357" s="3">
        <v>269</v>
      </c>
      <c r="AT357" s="3" t="str">
        <f>IFERROR(MID(VLOOKUP($B357,Seqs!$A:$B,2,0),AU357,1),"")</f>
        <v>C</v>
      </c>
      <c r="AU357" s="3">
        <v>292</v>
      </c>
      <c r="AV357" s="3" t="str">
        <f>IFERROR(MID(VLOOKUP($B357,Seqs!$A:$B,2,0),AW357,1),"")</f>
        <v/>
      </c>
      <c r="AW357" s="3" t="s">
        <v>23</v>
      </c>
      <c r="AX357" s="3" t="str">
        <f>IFERROR(MID(VLOOKUP($B357,Seqs!$A:$B,2,0),AY357,1),"")</f>
        <v/>
      </c>
      <c r="AY357" s="3" t="s">
        <v>23</v>
      </c>
      <c r="AZ357" s="77" t="str">
        <f>VLOOKUP(B357,Classification!A:D,2,0)</f>
        <v>A</v>
      </c>
      <c r="BA357" s="94" t="str">
        <f>VLOOKUP(B357,Classification!A:D,4,0)</f>
        <v>P2Y</v>
      </c>
      <c r="BB357" s="27" t="b">
        <f t="shared" si="2542"/>
        <v>1</v>
      </c>
      <c r="BC357" s="23">
        <f t="shared" si="2515"/>
        <v>227</v>
      </c>
      <c r="BD357" s="4" t="s">
        <v>23</v>
      </c>
      <c r="BE357" s="3" t="s">
        <v>1422</v>
      </c>
      <c r="BF357" s="118">
        <v>3.1</v>
      </c>
      <c r="BG357" s="49" t="s">
        <v>1371</v>
      </c>
      <c r="BH357" s="49" t="s">
        <v>1371</v>
      </c>
      <c r="BI357" s="1"/>
      <c r="BJ357" s="70" t="s">
        <v>1281</v>
      </c>
      <c r="BK357" s="57" t="s">
        <v>1281</v>
      </c>
      <c r="BL357" s="57" t="s">
        <v>1281</v>
      </c>
      <c r="BM357" s="57" t="s">
        <v>1281</v>
      </c>
      <c r="BN357" s="57" t="s">
        <v>1281</v>
      </c>
      <c r="BO357" s="57" t="s">
        <v>1281</v>
      </c>
      <c r="BP357" s="57" t="s">
        <v>1281</v>
      </c>
      <c r="BQ357" s="57" t="s">
        <v>1281</v>
      </c>
      <c r="BR357" s="57" t="s">
        <v>1281</v>
      </c>
      <c r="BS357" s="57" t="s">
        <v>1281</v>
      </c>
      <c r="BT357" s="57" t="s">
        <v>1281</v>
      </c>
      <c r="BU357" s="57" t="s">
        <v>1281</v>
      </c>
      <c r="BV357" s="70">
        <f t="shared" si="2516"/>
        <v>23</v>
      </c>
      <c r="BW357" s="71" t="str">
        <f t="shared" si="2517"/>
        <v>-</v>
      </c>
      <c r="BX357" s="72">
        <f t="shared" si="2518"/>
        <v>57</v>
      </c>
      <c r="BY357" s="71" t="str">
        <f t="shared" si="2519"/>
        <v>-</v>
      </c>
      <c r="BZ357" s="72">
        <f t="shared" si="2520"/>
        <v>90</v>
      </c>
      <c r="CA357" s="71" t="str">
        <f t="shared" si="2521"/>
        <v>-</v>
      </c>
      <c r="CB357" s="72">
        <f t="shared" si="2522"/>
        <v>137</v>
      </c>
      <c r="CC357" s="71">
        <f t="shared" si="2523"/>
        <v>175</v>
      </c>
      <c r="CD357" s="72">
        <f t="shared" si="2524"/>
        <v>181</v>
      </c>
      <c r="CE357" s="71">
        <f t="shared" si="2525"/>
        <v>236</v>
      </c>
      <c r="CF357" s="72">
        <f t="shared" si="2526"/>
        <v>269</v>
      </c>
      <c r="CG357" s="71" t="str">
        <f t="shared" si="2527"/>
        <v>-</v>
      </c>
      <c r="CH357" s="70">
        <f t="shared" si="2528"/>
        <v>53</v>
      </c>
      <c r="CI357" s="71" t="str">
        <f t="shared" si="2529"/>
        <v>-</v>
      </c>
      <c r="CJ357" s="72">
        <f t="shared" si="2530"/>
        <v>86</v>
      </c>
      <c r="CK357" s="72" t="str">
        <f t="shared" si="2531"/>
        <v>-</v>
      </c>
      <c r="CL357" s="72">
        <f t="shared" si="2532"/>
        <v>128</v>
      </c>
      <c r="CM357" s="72" t="str">
        <f t="shared" si="2533"/>
        <v>-</v>
      </c>
      <c r="CN357" s="72">
        <f t="shared" si="2534"/>
        <v>163</v>
      </c>
      <c r="CO357" s="72">
        <f t="shared" si="2535"/>
        <v>177</v>
      </c>
      <c r="CP357" s="72">
        <f t="shared" si="2536"/>
        <v>219</v>
      </c>
      <c r="CQ357" s="72">
        <f t="shared" si="2537"/>
        <v>265</v>
      </c>
      <c r="CR357" s="72">
        <f t="shared" si="2538"/>
        <v>292</v>
      </c>
      <c r="CS357" s="72" t="str">
        <f t="shared" si="2539"/>
        <v>-</v>
      </c>
      <c r="CT357" s="23" t="e">
        <f t="shared" si="2540"/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si="2541"/>
        <v>par1_human__wt</v>
      </c>
      <c r="B358" s="3" t="s">
        <v>354</v>
      </c>
      <c r="C358" s="3" t="s">
        <v>100</v>
      </c>
      <c r="D358" s="3" t="str">
        <f>IFERROR(MID(VLOOKUP($B358,Seqs!$A:$B,2,0),E358,1),"")</f>
        <v>S</v>
      </c>
      <c r="E358" s="3">
        <v>99</v>
      </c>
      <c r="F358" s="3" t="str">
        <f>IFERROR(MID(VLOOKUP($B358,Seqs!$A:$B,2,0),G358,1),"")</f>
        <v>K</v>
      </c>
      <c r="G358" s="3">
        <v>130</v>
      </c>
      <c r="H358" s="3" t="str">
        <f>IFERROR(MID(VLOOKUP($B358,Seqs!$A:$B,2,0),I358,1),"")</f>
        <v>M</v>
      </c>
      <c r="I358" s="23">
        <v>131</v>
      </c>
      <c r="J358" s="3" t="str">
        <f>IFERROR(MID(VLOOKUP($B358,Seqs!$A:$B,2,0),K358,1),"")</f>
        <v>K</v>
      </c>
      <c r="K358" s="23">
        <v>134</v>
      </c>
      <c r="L358" s="3" t="str">
        <f>IFERROR(MID(VLOOKUP($B358,Seqs!$A:$B,2,0),M358,1),"")</f>
        <v>K</v>
      </c>
      <c r="M358" s="3">
        <v>135</v>
      </c>
      <c r="N358" s="3" t="str">
        <f>IFERROR(MID(VLOOKUP($B358,Seqs!$A:$B,2,0),O358,1),"")</f>
        <v>S</v>
      </c>
      <c r="O358" s="3">
        <v>164</v>
      </c>
      <c r="P358" s="3" t="str">
        <f>IFERROR(MID(VLOOKUP($B358,Seqs!$A:$B,2,0),Q358,1),"")</f>
        <v>D</v>
      </c>
      <c r="Q358" s="3">
        <v>167</v>
      </c>
      <c r="R358" s="3" t="str">
        <f>IFERROR(MID(VLOOKUP($B358,Seqs!$A:$B,2,0),S358,1),"")</f>
        <v>F</v>
      </c>
      <c r="S358" s="3">
        <v>170</v>
      </c>
      <c r="T358" s="3" t="str">
        <f>IFERROR(MID(VLOOKUP($B358,Seqs!$A:$B,2,0),U358,1),"")</f>
        <v>G</v>
      </c>
      <c r="U358" s="3">
        <v>171</v>
      </c>
      <c r="V358" s="3" t="str">
        <f>IFERROR(MID(VLOOKUP($B358,Seqs!$A:$B,2,0),W358,1),"")</f>
        <v>Y</v>
      </c>
      <c r="W358" s="3">
        <v>206</v>
      </c>
      <c r="X358" s="3" t="str">
        <f>IFERROR(MID(VLOOKUP($B358,Seqs!$A:$B,2,0),Y358,1),"")</f>
        <v>P</v>
      </c>
      <c r="Y358" s="3">
        <v>207</v>
      </c>
      <c r="Z358" s="3" t="str">
        <f>IFERROR(MID(VLOOKUP($B358,Seqs!$A:$B,2,0),AA358,1),"")</f>
        <v>R</v>
      </c>
      <c r="AA358" s="3">
        <v>214</v>
      </c>
      <c r="AB358" s="3" t="str">
        <f>IFERROR(MID(VLOOKUP($B358,Seqs!$A:$B,2,0),AC358,1),"")</f>
        <v>T</v>
      </c>
      <c r="AC358" s="9">
        <v>215</v>
      </c>
      <c r="AD358" s="3" t="str">
        <f>IFERROR(MID(VLOOKUP($B358,Seqs!$A:$B,2,0),AE358,1),"")</f>
        <v>K</v>
      </c>
      <c r="AE358" s="3">
        <v>240</v>
      </c>
      <c r="AF358" s="3" t="str">
        <f>IFERROR(MID(VLOOKUP($B358,Seqs!$A:$B,2,0),AG358,1),"")</f>
        <v>C</v>
      </c>
      <c r="AG358" s="3">
        <v>254</v>
      </c>
      <c r="AH358" s="3" t="str">
        <f>IFERROR(MID(VLOOKUP($B358,Seqs!$A:$B,2,0),AI358,1),"")</f>
        <v>D</v>
      </c>
      <c r="AI358" s="3">
        <v>256</v>
      </c>
      <c r="AJ358" s="3" t="str">
        <f>IFERROR(MID(VLOOKUP($B358,Seqs!$A:$B,2,0),AK358,1),"")</f>
        <v>E</v>
      </c>
      <c r="AK358" s="3">
        <v>264</v>
      </c>
      <c r="AL358" s="3" t="str">
        <f>IFERROR(MID(VLOOKUP($B358,Seqs!$A:$B,2,0),AM358,1),"")</f>
        <v>S</v>
      </c>
      <c r="AM358" s="3">
        <v>299</v>
      </c>
      <c r="AN358" s="3" t="str">
        <f>IFERROR(MID(VLOOKUP($B358,Seqs!$A:$B,2,0),AO358,1),"")</f>
        <v>N</v>
      </c>
      <c r="AO358" s="3">
        <v>304</v>
      </c>
      <c r="AP358" s="3" t="str">
        <f>IFERROR(MID(VLOOKUP($B358,Seqs!$A:$B,2,0),AQ358,1),"")</f>
        <v>L</v>
      </c>
      <c r="AQ358" s="3">
        <v>340</v>
      </c>
      <c r="AR358" s="3" t="str">
        <f>IFERROR(MID(VLOOKUP($B358,Seqs!$A:$B,2,0),AS358,1),"")</f>
        <v>T</v>
      </c>
      <c r="AS358" s="3">
        <v>346</v>
      </c>
      <c r="AT358" s="3" t="str">
        <f>IFERROR(MID(VLOOKUP($B358,Seqs!$A:$B,2,0),AU358,1),"")</f>
        <v>A</v>
      </c>
      <c r="AU358" s="3">
        <v>374</v>
      </c>
      <c r="AV358" s="3" t="str">
        <f>IFERROR(MID(VLOOKUP($B358,Seqs!$A:$B,2,0),AW358,1),"")</f>
        <v>S</v>
      </c>
      <c r="AW358" s="3">
        <v>375</v>
      </c>
      <c r="AX358" s="3" t="str">
        <f>IFERROR(MID(VLOOKUP($B358,Seqs!$A:$B,2,0),AY358,1),"")</f>
        <v>K</v>
      </c>
      <c r="AY358" s="3">
        <v>389</v>
      </c>
      <c r="AZ358" s="77" t="str">
        <f>VLOOKUP(B358,Classification!A:D,2,0)</f>
        <v>A</v>
      </c>
      <c r="BA358" s="94" t="str">
        <f>VLOOKUP(B358,Classification!A:D,4,0)</f>
        <v>Proteinase-activated</v>
      </c>
      <c r="BB358" s="27" t="b">
        <f t="shared" si="2542"/>
        <v>1</v>
      </c>
      <c r="BC358" s="23">
        <f t="shared" si="2515"/>
        <v>260</v>
      </c>
      <c r="BD358" s="56" t="s">
        <v>23</v>
      </c>
      <c r="BE358" s="3" t="s">
        <v>23</v>
      </c>
      <c r="BF358" s="118" t="s">
        <v>23</v>
      </c>
      <c r="BG358" s="49" t="s">
        <v>1366</v>
      </c>
      <c r="BH358" s="49" t="s">
        <v>1371</v>
      </c>
      <c r="BI358" s="1"/>
      <c r="BJ358" s="70" t="s">
        <v>1281</v>
      </c>
      <c r="BK358" s="57" t="s">
        <v>1281</v>
      </c>
      <c r="BL358" s="57" t="s">
        <v>1281</v>
      </c>
      <c r="BM358" s="57" t="s">
        <v>1281</v>
      </c>
      <c r="BN358" s="57" t="s">
        <v>1281</v>
      </c>
      <c r="BO358" s="57" t="s">
        <v>1281</v>
      </c>
      <c r="BP358" s="57" t="s">
        <v>1281</v>
      </c>
      <c r="BQ358" s="57" t="s">
        <v>1281</v>
      </c>
      <c r="BR358" s="57" t="s">
        <v>1281</v>
      </c>
      <c r="BS358" s="57" t="s">
        <v>1281</v>
      </c>
      <c r="BT358" s="57" t="s">
        <v>1281</v>
      </c>
      <c r="BU358" s="57" t="s">
        <v>1281</v>
      </c>
      <c r="BV358" s="70">
        <f t="shared" si="2516"/>
        <v>99</v>
      </c>
      <c r="BW358" s="71">
        <f t="shared" si="2517"/>
        <v>131</v>
      </c>
      <c r="BX358" s="72">
        <f t="shared" si="2518"/>
        <v>135</v>
      </c>
      <c r="BY358" s="71">
        <f t="shared" si="2519"/>
        <v>167</v>
      </c>
      <c r="BZ358" s="72">
        <f t="shared" si="2520"/>
        <v>171</v>
      </c>
      <c r="CA358" s="71">
        <f t="shared" si="2521"/>
        <v>207</v>
      </c>
      <c r="CB358" s="72">
        <f t="shared" si="2522"/>
        <v>215</v>
      </c>
      <c r="CC358" s="71">
        <f t="shared" si="2523"/>
        <v>254</v>
      </c>
      <c r="CD358" s="72">
        <f t="shared" si="2524"/>
        <v>264</v>
      </c>
      <c r="CE358" s="71">
        <f t="shared" si="2525"/>
        <v>304</v>
      </c>
      <c r="CF358" s="72">
        <f t="shared" si="2526"/>
        <v>346</v>
      </c>
      <c r="CG358" s="71">
        <f t="shared" si="2527"/>
        <v>375</v>
      </c>
      <c r="CH358" s="70">
        <f t="shared" si="2528"/>
        <v>130</v>
      </c>
      <c r="CI358" s="71">
        <f t="shared" si="2529"/>
        <v>134</v>
      </c>
      <c r="CJ358" s="72">
        <f t="shared" si="2530"/>
        <v>164</v>
      </c>
      <c r="CK358" s="72">
        <f t="shared" si="2531"/>
        <v>170</v>
      </c>
      <c r="CL358" s="72">
        <f t="shared" si="2532"/>
        <v>206</v>
      </c>
      <c r="CM358" s="72">
        <f t="shared" si="2533"/>
        <v>214</v>
      </c>
      <c r="CN358" s="72">
        <f t="shared" si="2534"/>
        <v>240</v>
      </c>
      <c r="CO358" s="72">
        <f t="shared" si="2535"/>
        <v>256</v>
      </c>
      <c r="CP358" s="72">
        <f t="shared" si="2536"/>
        <v>299</v>
      </c>
      <c r="CQ358" s="72">
        <f t="shared" si="2537"/>
        <v>340</v>
      </c>
      <c r="CR358" s="72">
        <f t="shared" si="2538"/>
        <v>374</v>
      </c>
      <c r="CS358" s="72">
        <f t="shared" si="2539"/>
        <v>389</v>
      </c>
      <c r="CT358" s="23">
        <f t="shared" si="2540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si="2541"/>
        <v>par1_human_3VW7</v>
      </c>
      <c r="B359" s="3" t="s">
        <v>354</v>
      </c>
      <c r="C359" s="3" t="s">
        <v>93</v>
      </c>
      <c r="D359" s="3" t="str">
        <f>IFERROR(MID(VLOOKUP($B359,Seqs!$A:$B,2,0),E359,1),"")</f>
        <v>S</v>
      </c>
      <c r="E359" s="3">
        <v>99</v>
      </c>
      <c r="F359" s="3" t="str">
        <f>IFERROR(MID(VLOOKUP($B359,Seqs!$A:$B,2,0),G359,1),"")</f>
        <v>K</v>
      </c>
      <c r="G359" s="3">
        <v>130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K</v>
      </c>
      <c r="M359" s="3">
        <v>135</v>
      </c>
      <c r="N359" s="3" t="str">
        <f>IFERROR(MID(VLOOKUP($B359,Seqs!$A:$B,2,0),O359,1),"")</f>
        <v>S</v>
      </c>
      <c r="O359" s="3">
        <v>164</v>
      </c>
      <c r="P359" s="3" t="str">
        <f>IFERROR(MID(VLOOKUP($B359,Seqs!$A:$B,2,0),Q359,1),"")</f>
        <v>D</v>
      </c>
      <c r="Q359" s="3">
        <v>167</v>
      </c>
      <c r="R359" s="3" t="str">
        <f>IFERROR(MID(VLOOKUP($B359,Seqs!$A:$B,2,0),S359,1),"")</f>
        <v>F</v>
      </c>
      <c r="S359" s="3">
        <v>170</v>
      </c>
      <c r="T359" s="3" t="str">
        <f>IFERROR(MID(VLOOKUP($B359,Seqs!$A:$B,2,0),U359,1),"")</f>
        <v>G</v>
      </c>
      <c r="U359" s="3">
        <v>171</v>
      </c>
      <c r="V359" s="3" t="str">
        <f>IFERROR(MID(VLOOKUP($B359,Seqs!$A:$B,2,0),W359,1),"")</f>
        <v>Y</v>
      </c>
      <c r="W359" s="3">
        <v>206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9">
        <v>215</v>
      </c>
      <c r="AD359" s="3" t="str">
        <f>IFERROR(MID(VLOOKUP($B359,Seqs!$A:$B,2,0),AE359,1),"")</f>
        <v>K</v>
      </c>
      <c r="AE359" s="3">
        <v>240</v>
      </c>
      <c r="AF359" s="3" t="str">
        <f>IFERROR(MID(VLOOKUP($B359,Seqs!$A:$B,2,0),AG359,1),"")</f>
        <v>C</v>
      </c>
      <c r="AG359" s="3">
        <v>254</v>
      </c>
      <c r="AH359" s="3" t="str">
        <f>IFERROR(MID(VLOOKUP($B359,Seqs!$A:$B,2,0),AI359,1),"")</f>
        <v>D</v>
      </c>
      <c r="AI359" s="3">
        <v>256</v>
      </c>
      <c r="AJ359" s="3" t="str">
        <f>IFERROR(MID(VLOOKUP($B359,Seqs!$A:$B,2,0),AK359,1),"")</f>
        <v>E</v>
      </c>
      <c r="AK359" s="3">
        <v>264</v>
      </c>
      <c r="AL359" s="3" t="str">
        <f>IFERROR(MID(VLOOKUP($B359,Seqs!$A:$B,2,0),AM359,1),"")</f>
        <v>S</v>
      </c>
      <c r="AM359" s="3">
        <v>300</v>
      </c>
      <c r="AN359" s="3" t="str">
        <f>IFERROR(MID(VLOOKUP($B359,Seqs!$A:$B,2,0),AO359,1),"")</f>
        <v>N</v>
      </c>
      <c r="AO359" s="3">
        <v>304</v>
      </c>
      <c r="AP359" s="3" t="str">
        <f>IFERROR(MID(VLOOKUP($B359,Seqs!$A:$B,2,0),AQ359,1),"")</f>
        <v>L</v>
      </c>
      <c r="AQ359" s="3">
        <v>340</v>
      </c>
      <c r="AR359" s="3" t="str">
        <f>IFERROR(MID(VLOOKUP($B359,Seqs!$A:$B,2,0),AS359,1),"")</f>
        <v>T</v>
      </c>
      <c r="AS359" s="3">
        <v>346</v>
      </c>
      <c r="AT359" s="3" t="str">
        <f>IFERROR(MID(VLOOKUP($B359,Seqs!$A:$B,2,0),AU359,1),"")</f>
        <v>Y</v>
      </c>
      <c r="AU359" s="3">
        <v>372</v>
      </c>
      <c r="AV359" s="3" t="str">
        <f>IFERROR(MID(VLOOKUP($B359,Seqs!$A:$B,2,0),AW359,1),"")</f>
        <v/>
      </c>
      <c r="AW359" s="3" t="s">
        <v>23</v>
      </c>
      <c r="AX359" s="3" t="str">
        <f>IFERROR(MID(VLOOKUP($B359,Seqs!$A:$B,2,0),AY359,1),"")</f>
        <v/>
      </c>
      <c r="AY359" s="3" t="s">
        <v>23</v>
      </c>
      <c r="AZ359" s="77" t="str">
        <f>VLOOKUP(B359,Classification!A:D,2,0)</f>
        <v>A</v>
      </c>
      <c r="BA359" s="94" t="str">
        <f>VLOOKUP(B359,Classification!A:D,4,0)</f>
        <v>Proteinase-activated</v>
      </c>
      <c r="BB359" s="27" t="b">
        <f t="shared" si="2542"/>
        <v>1</v>
      </c>
      <c r="BC359" s="23">
        <f t="shared" si="2515"/>
        <v>235</v>
      </c>
      <c r="BD359" s="2" t="s">
        <v>1423</v>
      </c>
      <c r="BE359" s="3" t="s">
        <v>1422</v>
      </c>
      <c r="BF359" s="118">
        <v>2.2000000000000002</v>
      </c>
      <c r="BG359" s="49" t="s">
        <v>1371</v>
      </c>
      <c r="BH359" s="49" t="s">
        <v>1371</v>
      </c>
      <c r="BI359" s="1"/>
      <c r="BJ359" s="70" t="s">
        <v>1281</v>
      </c>
      <c r="BK359" s="57" t="s">
        <v>1281</v>
      </c>
      <c r="BL359" s="57" t="s">
        <v>1281</v>
      </c>
      <c r="BM359" s="57" t="s">
        <v>1281</v>
      </c>
      <c r="BN359" s="57" t="s">
        <v>1281</v>
      </c>
      <c r="BO359" s="57" t="s">
        <v>1281</v>
      </c>
      <c r="BP359" s="57" t="s">
        <v>1281</v>
      </c>
      <c r="BQ359" s="57" t="s">
        <v>1281</v>
      </c>
      <c r="BR359" s="57" t="s">
        <v>1281</v>
      </c>
      <c r="BS359" s="57" t="s">
        <v>1281</v>
      </c>
      <c r="BT359" s="57" t="s">
        <v>1281</v>
      </c>
      <c r="BU359" s="57" t="s">
        <v>1281</v>
      </c>
      <c r="BV359" s="70">
        <f t="shared" si="2516"/>
        <v>99</v>
      </c>
      <c r="BW359" s="71" t="str">
        <f t="shared" si="2517"/>
        <v>-</v>
      </c>
      <c r="BX359" s="72">
        <f t="shared" si="2518"/>
        <v>135</v>
      </c>
      <c r="BY359" s="71">
        <f t="shared" si="2519"/>
        <v>167</v>
      </c>
      <c r="BZ359" s="72">
        <f t="shared" si="2520"/>
        <v>171</v>
      </c>
      <c r="CA359" s="71" t="str">
        <f t="shared" si="2521"/>
        <v>-</v>
      </c>
      <c r="CB359" s="72">
        <f t="shared" si="2522"/>
        <v>215</v>
      </c>
      <c r="CC359" s="71">
        <f t="shared" si="2523"/>
        <v>254</v>
      </c>
      <c r="CD359" s="72">
        <f t="shared" si="2524"/>
        <v>264</v>
      </c>
      <c r="CE359" s="71">
        <f t="shared" si="2525"/>
        <v>304</v>
      </c>
      <c r="CF359" s="72">
        <f t="shared" si="2526"/>
        <v>346</v>
      </c>
      <c r="CG359" s="71" t="str">
        <f t="shared" si="2527"/>
        <v>-</v>
      </c>
      <c r="CH359" s="70">
        <f t="shared" si="2528"/>
        <v>130</v>
      </c>
      <c r="CI359" s="71" t="str">
        <f t="shared" si="2529"/>
        <v>-</v>
      </c>
      <c r="CJ359" s="72">
        <f t="shared" si="2530"/>
        <v>164</v>
      </c>
      <c r="CK359" s="72">
        <f t="shared" si="2531"/>
        <v>170</v>
      </c>
      <c r="CL359" s="72">
        <f t="shared" si="2532"/>
        <v>206</v>
      </c>
      <c r="CM359" s="72" t="str">
        <f t="shared" si="2533"/>
        <v>-</v>
      </c>
      <c r="CN359" s="72">
        <f t="shared" si="2534"/>
        <v>240</v>
      </c>
      <c r="CO359" s="72">
        <f t="shared" si="2535"/>
        <v>256</v>
      </c>
      <c r="CP359" s="72">
        <f t="shared" si="2536"/>
        <v>300</v>
      </c>
      <c r="CQ359" s="72">
        <f t="shared" si="2537"/>
        <v>340</v>
      </c>
      <c r="CR359" s="72">
        <f t="shared" si="2538"/>
        <v>372</v>
      </c>
      <c r="CS359" s="72" t="str">
        <f t="shared" si="2539"/>
        <v>-</v>
      </c>
      <c r="CT359" s="23" t="e">
        <f t="shared" si="2540"/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:A379" si="3047">CONCATENATE(B360,"_",C360)</f>
        <v>par2_human__wt</v>
      </c>
      <c r="B360" s="3" t="s">
        <v>355</v>
      </c>
      <c r="C360" s="3" t="s">
        <v>100</v>
      </c>
      <c r="D360" s="3" t="str">
        <f>IFERROR(MID(VLOOKUP($B360,Seqs!$A:$B,2,0),E360,1),"")</f>
        <v>G</v>
      </c>
      <c r="E360" s="3">
        <v>71</v>
      </c>
      <c r="F360" s="3" t="str">
        <f>IFERROR(MID(VLOOKUP($B360,Seqs!$A:$B,2,0),G360,1),"")</f>
        <v>R</v>
      </c>
      <c r="G360" s="3">
        <v>103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H</v>
      </c>
      <c r="M360" s="3">
        <v>108</v>
      </c>
      <c r="N360" s="3" t="str">
        <f>IFERROR(MID(VLOOKUP($B360,Seqs!$A:$B,2,0),O360,1),"")</f>
        <v>H</v>
      </c>
      <c r="O360" s="3">
        <v>137</v>
      </c>
      <c r="P360" s="3" t="str">
        <f>IFERROR(MID(VLOOKUP($B360,Seqs!$A:$B,2,0),Q360,1),"")</f>
        <v>G</v>
      </c>
      <c r="Q360" s="3">
        <v>138</v>
      </c>
      <c r="R360" s="3" t="str">
        <f>IFERROR(MID(VLOOKUP($B360,Seqs!$A:$B,2,0),S360,1),"")</f>
        <v>Y</v>
      </c>
      <c r="S360" s="3">
        <v>143</v>
      </c>
      <c r="T360" s="3" t="str">
        <f>IFERROR(MID(VLOOKUP($B360,Seqs!$A:$B,2,0),U360,1),"")</f>
        <v>G</v>
      </c>
      <c r="U360" s="3">
        <v>144</v>
      </c>
      <c r="V360" s="3" t="str">
        <f>IFERROR(MID(VLOOKUP($B360,Seqs!$A:$B,2,0),W360,1),"")</f>
        <v>N</v>
      </c>
      <c r="W360" s="3">
        <v>179</v>
      </c>
      <c r="X360" s="3" t="str">
        <f>IFERROR(MID(VLOOKUP($B360,Seqs!$A:$B,2,0),Y360,1),"")</f>
        <v>P</v>
      </c>
      <c r="Y360" s="3">
        <v>180</v>
      </c>
      <c r="Z360" s="3" t="str">
        <f>IFERROR(MID(VLOOKUP($B360,Seqs!$A:$B,2,0),AA360,1),"")</f>
        <v>K</v>
      </c>
      <c r="AA360" s="3">
        <v>186</v>
      </c>
      <c r="AB360" s="3" t="str">
        <f>IFERROR(MID(VLOOKUP($B360,Seqs!$A:$B,2,0),AC360,1),"")</f>
        <v>K</v>
      </c>
      <c r="AC360" s="3">
        <v>187</v>
      </c>
      <c r="AD360" s="3" t="str">
        <f>IFERROR(MID(VLOOKUP($B360,Seqs!$A:$B,2,0),AE360,1),"")</f>
        <v>V</v>
      </c>
      <c r="AE360" s="3">
        <v>211</v>
      </c>
      <c r="AF360" s="3" t="str">
        <f>IFERROR(MID(VLOOKUP($B360,Seqs!$A:$B,2,0),AG360,1),"")</f>
        <v>C</v>
      </c>
      <c r="AG360" s="3">
        <v>226</v>
      </c>
      <c r="AH360" s="3" t="str">
        <f>IFERROR(MID(VLOOKUP($B360,Seqs!$A:$B,2,0),AI360,1),"")</f>
        <v>D</v>
      </c>
      <c r="AI360" s="3">
        <v>228</v>
      </c>
      <c r="AJ360" s="3" t="str">
        <f>IFERROR(MID(VLOOKUP($B360,Seqs!$A:$B,2,0),AK360,1),"")</f>
        <v>L</v>
      </c>
      <c r="AK360" s="3">
        <v>235</v>
      </c>
      <c r="AL360" s="3" t="str">
        <f>IFERROR(MID(VLOOKUP($B360,Seqs!$A:$B,2,0),AM360,1),"")</f>
        <v>S</v>
      </c>
      <c r="AM360" s="3">
        <v>272</v>
      </c>
      <c r="AN360" s="3" t="str">
        <f>IFERROR(MID(VLOOKUP($B360,Seqs!$A:$B,2,0),AO360,1),"")</f>
        <v>S</v>
      </c>
      <c r="AO360" s="3">
        <v>278</v>
      </c>
      <c r="AP360" s="3" t="str">
        <f>IFERROR(MID(VLOOKUP($B360,Seqs!$A:$B,2,0),AQ360,1),"")</f>
        <v>Q</v>
      </c>
      <c r="AQ360" s="3">
        <v>317</v>
      </c>
      <c r="AR360" s="3" t="str">
        <f>IFERROR(MID(VLOOKUP($B360,Seqs!$A:$B,2,0),AS360,1),"")</f>
        <v>V</v>
      </c>
      <c r="AS360" s="3">
        <v>322</v>
      </c>
      <c r="AT360" s="3" t="str">
        <f>IFERROR(MID(VLOOKUP($B360,Seqs!$A:$B,2,0),AU360,1),"")</f>
        <v>V</v>
      </c>
      <c r="AU360" s="3">
        <v>347</v>
      </c>
      <c r="AV360" s="3" t="str">
        <f>IFERROR(MID(VLOOKUP($B360,Seqs!$A:$B,2,0),AW360,1),"")</f>
        <v>S</v>
      </c>
      <c r="AW360" s="3">
        <v>348</v>
      </c>
      <c r="AX360" s="3" t="str">
        <f>IFERROR(MID(VLOOKUP($B360,Seqs!$A:$B,2,0),AY360,1),"")</f>
        <v>R</v>
      </c>
      <c r="AY360" s="3">
        <v>362</v>
      </c>
      <c r="AZ360" s="77" t="str">
        <f>VLOOKUP(B360,Classification!A:D,2,0)</f>
        <v>A</v>
      </c>
      <c r="BA360" s="94" t="str">
        <f>VLOOKUP(B360,Classification!A:D,4,0)</f>
        <v>Proteinase-activated</v>
      </c>
      <c r="BB360" s="27" t="b">
        <f t="shared" ref="BB360:BB379" si="3048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:BC379" si="3049">_xlfn.AGGREGATE(9,6,CH360:CS360)-_xlfn.AGGREGATE(9,6,BV360:CG360)+12</f>
        <v>260</v>
      </c>
      <c r="BD360" s="2" t="s">
        <v>23</v>
      </c>
      <c r="BE360" s="3" t="s">
        <v>23</v>
      </c>
      <c r="BF360" s="118" t="s">
        <v>23</v>
      </c>
      <c r="BG360" s="49" t="s">
        <v>1371</v>
      </c>
      <c r="BH360" s="49" t="s">
        <v>1371</v>
      </c>
      <c r="BI360" s="1"/>
      <c r="BJ360" s="70" t="s">
        <v>1281</v>
      </c>
      <c r="BK360" s="57" t="s">
        <v>1281</v>
      </c>
      <c r="BL360" s="57" t="s">
        <v>1281</v>
      </c>
      <c r="BM360" s="57" t="s">
        <v>1281</v>
      </c>
      <c r="BN360" s="57" t="s">
        <v>1281</v>
      </c>
      <c r="BO360" s="57" t="s">
        <v>1281</v>
      </c>
      <c r="BP360" s="57" t="s">
        <v>1281</v>
      </c>
      <c r="BQ360" s="57" t="s">
        <v>1281</v>
      </c>
      <c r="BR360" s="57" t="s">
        <v>1281</v>
      </c>
      <c r="BS360" s="57" t="s">
        <v>1281</v>
      </c>
      <c r="BT360" s="57" t="s">
        <v>1281</v>
      </c>
      <c r="BU360" s="57" t="s">
        <v>1281</v>
      </c>
      <c r="BV360" s="70">
        <f t="shared" ref="BV360:BV379" si="3050">E360</f>
        <v>71</v>
      </c>
      <c r="BW360" s="71" t="str">
        <f t="shared" ref="BW360:BW379" si="3051">I360</f>
        <v>-</v>
      </c>
      <c r="BX360" s="72">
        <f t="shared" ref="BX360:BX379" si="3052">M360</f>
        <v>108</v>
      </c>
      <c r="BY360" s="71">
        <f t="shared" ref="BY360:BY379" si="3053">Q360</f>
        <v>138</v>
      </c>
      <c r="BZ360" s="72">
        <f t="shared" ref="BZ360:BZ379" si="3054">U360</f>
        <v>144</v>
      </c>
      <c r="CA360" s="71">
        <f t="shared" ref="CA360:CA379" si="3055">Y360</f>
        <v>180</v>
      </c>
      <c r="CB360" s="72">
        <f t="shared" ref="CB360:CB379" si="3056">AC360</f>
        <v>187</v>
      </c>
      <c r="CC360" s="71">
        <f t="shared" ref="CC360:CC379" si="3057">AG360</f>
        <v>226</v>
      </c>
      <c r="CD360" s="72">
        <f t="shared" ref="CD360:CD379" si="3058">AK360</f>
        <v>235</v>
      </c>
      <c r="CE360" s="71">
        <f t="shared" ref="CE360:CE379" si="3059">AO360</f>
        <v>278</v>
      </c>
      <c r="CF360" s="72">
        <f t="shared" ref="CF360:CF379" si="3060">AS360</f>
        <v>322</v>
      </c>
      <c r="CG360" s="71">
        <f t="shared" ref="CG360:CG379" si="3061">AW360</f>
        <v>348</v>
      </c>
      <c r="CH360" s="70">
        <f t="shared" ref="CH360:CH379" si="3062">G360</f>
        <v>103</v>
      </c>
      <c r="CI360" s="71" t="str">
        <f t="shared" ref="CI360:CI379" si="3063">K360</f>
        <v>-</v>
      </c>
      <c r="CJ360" s="72">
        <f t="shared" ref="CJ360:CJ379" si="3064">O360</f>
        <v>137</v>
      </c>
      <c r="CK360" s="72">
        <f t="shared" ref="CK360:CK379" si="3065">S360</f>
        <v>143</v>
      </c>
      <c r="CL360" s="72">
        <f t="shared" ref="CL360:CL379" si="3066">W360</f>
        <v>179</v>
      </c>
      <c r="CM360" s="72">
        <f t="shared" ref="CM360:CM379" si="3067">AA360</f>
        <v>186</v>
      </c>
      <c r="CN360" s="72">
        <f t="shared" ref="CN360:CN379" si="3068">AE360</f>
        <v>211</v>
      </c>
      <c r="CO360" s="72">
        <f t="shared" ref="CO360:CO379" si="3069">AI360</f>
        <v>228</v>
      </c>
      <c r="CP360" s="72">
        <f t="shared" ref="CP360:CP379" si="3070">AM360</f>
        <v>272</v>
      </c>
      <c r="CQ360" s="72">
        <f t="shared" ref="CQ360:CQ379" si="3071">AQ360</f>
        <v>317</v>
      </c>
      <c r="CR360" s="72">
        <f t="shared" ref="CR360:CR379" si="3072">AU360</f>
        <v>347</v>
      </c>
      <c r="CS360" s="72">
        <f t="shared" ref="CS360:CS379" si="3073">AY360</f>
        <v>362</v>
      </c>
      <c r="CT360" s="23" t="e">
        <f t="shared" ref="CT360:CT379" si="3074">M360-K360</f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 t="shared" si="3047"/>
        <v>par2_human_5NDD</v>
      </c>
      <c r="B361" s="3" t="s">
        <v>355</v>
      </c>
      <c r="C361" s="3" t="s">
        <v>1390</v>
      </c>
      <c r="D361" s="3" t="str">
        <f>IFERROR(MID(VLOOKUP($B361,Seqs!$A:$B,2,0),E361,1),"")</f>
        <v>G</v>
      </c>
      <c r="E361" s="3">
        <v>71</v>
      </c>
      <c r="F361" s="3" t="str">
        <f>IFERROR(MID(VLOOKUP($B361,Seqs!$A:$B,2,0),G361,1),"")</f>
        <v>R</v>
      </c>
      <c r="G361" s="3">
        <v>103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H</v>
      </c>
      <c r="M361" s="3">
        <v>108</v>
      </c>
      <c r="N361" s="3" t="str">
        <f>IFERROR(MID(VLOOKUP($B361,Seqs!$A:$B,2,0),O361,1),"")</f>
        <v>H</v>
      </c>
      <c r="O361" s="3">
        <v>137</v>
      </c>
      <c r="P361" s="3" t="str">
        <f>IFERROR(MID(VLOOKUP($B361,Seqs!$A:$B,2,0),Q361,1),"")</f>
        <v>G</v>
      </c>
      <c r="Q361" s="3">
        <v>138</v>
      </c>
      <c r="R361" s="3" t="str">
        <f>IFERROR(MID(VLOOKUP($B361,Seqs!$A:$B,2,0),S361,1),"")</f>
        <v>Y</v>
      </c>
      <c r="S361" s="3">
        <v>143</v>
      </c>
      <c r="T361" s="3" t="str">
        <f>IFERROR(MID(VLOOKUP($B361,Seqs!$A:$B,2,0),U361,1),"")</f>
        <v>G</v>
      </c>
      <c r="U361" s="3">
        <v>144</v>
      </c>
      <c r="V361" s="3" t="str">
        <f>IFERROR(MID(VLOOKUP($B361,Seqs!$A:$B,2,0),W361,1),"")</f>
        <v>N</v>
      </c>
      <c r="W361" s="3">
        <v>179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H</v>
      </c>
      <c r="AC361" s="3">
        <v>183</v>
      </c>
      <c r="AD361" s="3" t="str">
        <f>IFERROR(MID(VLOOKUP($B361,Seqs!$A:$B,2,0),AE361,1),"")</f>
        <v>V</v>
      </c>
      <c r="AE361" s="3">
        <v>211</v>
      </c>
      <c r="AF361" s="3" t="str">
        <f>IFERROR(MID(VLOOKUP($B361,Seqs!$A:$B,2,0),AG361,1),"")</f>
        <v>C</v>
      </c>
      <c r="AG361" s="3">
        <v>226</v>
      </c>
      <c r="AH361" s="3" t="str">
        <f>IFERROR(MID(VLOOKUP($B361,Seqs!$A:$B,2,0),AI361,1),"")</f>
        <v>D</v>
      </c>
      <c r="AI361" s="3">
        <v>228</v>
      </c>
      <c r="AJ361" s="3" t="str">
        <f>IFERROR(MID(VLOOKUP($B361,Seqs!$A:$B,2,0),AK361,1),"")</f>
        <v>L</v>
      </c>
      <c r="AK361" s="3">
        <v>235</v>
      </c>
      <c r="AL361" s="3" t="str">
        <f>IFERROR(MID(VLOOKUP($B361,Seqs!$A:$B,2,0),AM361,1),"")</f>
        <v>L</v>
      </c>
      <c r="AM361" s="3">
        <v>269</v>
      </c>
      <c r="AN361" s="3" t="str">
        <f>IFERROR(MID(VLOOKUP($B361,Seqs!$A:$B,2,0),AO361,1),"")</f>
        <v>S</v>
      </c>
      <c r="AO361" s="3">
        <v>278</v>
      </c>
      <c r="AP361" s="3" t="str">
        <f>IFERROR(MID(VLOOKUP($B361,Seqs!$A:$B,2,0),AQ361,1),"")</f>
        <v>Q</v>
      </c>
      <c r="AQ361" s="3">
        <v>317</v>
      </c>
      <c r="AR361" s="3" t="str">
        <f>IFERROR(MID(VLOOKUP($B361,Seqs!$A:$B,2,0),AS361,1),"")</f>
        <v>V</v>
      </c>
      <c r="AS361" s="3">
        <v>322</v>
      </c>
      <c r="AT361" s="3" t="str">
        <f>IFERROR(MID(VLOOKUP($B361,Seqs!$A:$B,2,0),AU361,1),"")</f>
        <v>V</v>
      </c>
      <c r="AU361" s="3">
        <v>347</v>
      </c>
      <c r="AV361" s="3" t="str">
        <f>IFERROR(MID(VLOOKUP($B361,Seqs!$A:$B,2,0),AW361,1),"")</f>
        <v>S</v>
      </c>
      <c r="AW361" s="3">
        <v>348</v>
      </c>
      <c r="AX361" s="3" t="str">
        <f>IFERROR(MID(VLOOKUP($B361,Seqs!$A:$B,2,0),AY361,1),"")</f>
        <v>L</v>
      </c>
      <c r="AY361" s="3">
        <v>359</v>
      </c>
      <c r="AZ361" s="77" t="str">
        <f>VLOOKUP(B361,Classification!A:D,2,0)</f>
        <v>A</v>
      </c>
      <c r="BA361" s="94" t="str">
        <f>VLOOKUP(B361,Classification!A:D,4,0)</f>
        <v>Proteinase-activated</v>
      </c>
      <c r="BB361" s="27" t="b">
        <f t="shared" si="3048"/>
        <v>1</v>
      </c>
      <c r="BC361" s="23">
        <f t="shared" si="3049"/>
        <v>252</v>
      </c>
      <c r="BD361" s="2" t="s">
        <v>1423</v>
      </c>
      <c r="BE361" s="3" t="s">
        <v>1422</v>
      </c>
      <c r="BF361" s="118">
        <v>2.8</v>
      </c>
      <c r="BG361" s="49" t="s">
        <v>1</v>
      </c>
      <c r="BH361" s="49" t="s">
        <v>1371</v>
      </c>
      <c r="BI361" s="1"/>
      <c r="BJ361" s="70" t="s">
        <v>1281</v>
      </c>
      <c r="BK361" s="57" t="s">
        <v>1281</v>
      </c>
      <c r="BL361" s="57" t="s">
        <v>1281</v>
      </c>
      <c r="BM361" s="57" t="s">
        <v>1281</v>
      </c>
      <c r="BN361" s="57" t="s">
        <v>1281</v>
      </c>
      <c r="BO361" s="57" t="s">
        <v>1281</v>
      </c>
      <c r="BP361" s="57" t="s">
        <v>1281</v>
      </c>
      <c r="BQ361" s="57" t="s">
        <v>1281</v>
      </c>
      <c r="BR361" s="57" t="s">
        <v>1281</v>
      </c>
      <c r="BS361" s="57" t="s">
        <v>1281</v>
      </c>
      <c r="BT361" s="57" t="s">
        <v>1281</v>
      </c>
      <c r="BU361" s="57" t="s">
        <v>1281</v>
      </c>
      <c r="BV361" s="70">
        <f t="shared" si="3050"/>
        <v>71</v>
      </c>
      <c r="BW361" s="71" t="str">
        <f t="shared" si="3051"/>
        <v>-</v>
      </c>
      <c r="BX361" s="72">
        <f t="shared" si="3052"/>
        <v>108</v>
      </c>
      <c r="BY361" s="71">
        <f t="shared" si="3053"/>
        <v>138</v>
      </c>
      <c r="BZ361" s="72">
        <f t="shared" si="3054"/>
        <v>144</v>
      </c>
      <c r="CA361" s="71" t="str">
        <f t="shared" si="3055"/>
        <v>-</v>
      </c>
      <c r="CB361" s="72">
        <f t="shared" si="3056"/>
        <v>183</v>
      </c>
      <c r="CC361" s="71">
        <f t="shared" si="3057"/>
        <v>226</v>
      </c>
      <c r="CD361" s="72">
        <f t="shared" si="3058"/>
        <v>235</v>
      </c>
      <c r="CE361" s="71">
        <f t="shared" si="3059"/>
        <v>278</v>
      </c>
      <c r="CF361" s="72">
        <f t="shared" si="3060"/>
        <v>322</v>
      </c>
      <c r="CG361" s="71">
        <f t="shared" si="3061"/>
        <v>348</v>
      </c>
      <c r="CH361" s="70">
        <f t="shared" si="3062"/>
        <v>103</v>
      </c>
      <c r="CI361" s="71" t="str">
        <f t="shared" si="3063"/>
        <v>-</v>
      </c>
      <c r="CJ361" s="72">
        <f t="shared" si="3064"/>
        <v>137</v>
      </c>
      <c r="CK361" s="72">
        <f t="shared" si="3065"/>
        <v>143</v>
      </c>
      <c r="CL361" s="72">
        <f t="shared" si="3066"/>
        <v>179</v>
      </c>
      <c r="CM361" s="72" t="str">
        <f t="shared" si="3067"/>
        <v>-</v>
      </c>
      <c r="CN361" s="72">
        <f t="shared" si="3068"/>
        <v>211</v>
      </c>
      <c r="CO361" s="72">
        <f t="shared" si="3069"/>
        <v>228</v>
      </c>
      <c r="CP361" s="72">
        <f t="shared" si="3070"/>
        <v>269</v>
      </c>
      <c r="CQ361" s="72">
        <f t="shared" si="3071"/>
        <v>317</v>
      </c>
      <c r="CR361" s="72">
        <f t="shared" si="3072"/>
        <v>347</v>
      </c>
      <c r="CS361" s="72">
        <f t="shared" si="3073"/>
        <v>359</v>
      </c>
      <c r="CT361" s="23" t="e">
        <f t="shared" si="3074"/>
        <v>#VALUE!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x14ac:dyDescent="0.2">
      <c r="A362" s="3" t="str">
        <f t="shared" si="3047"/>
        <v>par2_human_5NDZ</v>
      </c>
      <c r="B362" s="3" t="s">
        <v>355</v>
      </c>
      <c r="C362" s="3" t="s">
        <v>1391</v>
      </c>
      <c r="D362" s="3" t="str">
        <f>IFERROR(MID(VLOOKUP($B362,Seqs!$A:$B,2,0),E362,1),"")</f>
        <v>G</v>
      </c>
      <c r="E362" s="3">
        <v>71</v>
      </c>
      <c r="F362" s="3" t="str">
        <f>IFERROR(MID(VLOOKUP($B362,Seqs!$A:$B,2,0),G362,1),"")</f>
        <v>R</v>
      </c>
      <c r="G362" s="3">
        <v>103</v>
      </c>
      <c r="H362" s="3" t="str">
        <f>IFERROR(MID(VLOOKUP($B362,Seqs!$A:$B,2,0),I362,1),"")</f>
        <v/>
      </c>
      <c r="I362" s="23" t="s">
        <v>23</v>
      </c>
      <c r="J362" s="3" t="str">
        <f>IFERROR(MID(VLOOKUP($B362,Seqs!$A:$B,2,0),K362,1),"")</f>
        <v/>
      </c>
      <c r="K362" s="23" t="s">
        <v>23</v>
      </c>
      <c r="L362" s="3" t="str">
        <f>IFERROR(MID(VLOOKUP($B362,Seqs!$A:$B,2,0),M362,1),"")</f>
        <v>H</v>
      </c>
      <c r="M362" s="3">
        <v>108</v>
      </c>
      <c r="N362" s="3" t="str">
        <f>IFERROR(MID(VLOOKUP($B362,Seqs!$A:$B,2,0),O362,1),"")</f>
        <v>H</v>
      </c>
      <c r="O362" s="3">
        <v>137</v>
      </c>
      <c r="P362" s="3" t="str">
        <f>IFERROR(MID(VLOOKUP($B362,Seqs!$A:$B,2,0),Q362,1),"")</f>
        <v>G</v>
      </c>
      <c r="Q362" s="3">
        <v>138</v>
      </c>
      <c r="R362" s="3" t="str">
        <f>IFERROR(MID(VLOOKUP($B362,Seqs!$A:$B,2,0),S362,1),"")</f>
        <v>Y</v>
      </c>
      <c r="S362" s="3">
        <v>143</v>
      </c>
      <c r="T362" s="3" t="str">
        <f>IFERROR(MID(VLOOKUP($B362,Seqs!$A:$B,2,0),U362,1),"")</f>
        <v>G</v>
      </c>
      <c r="U362" s="3">
        <v>144</v>
      </c>
      <c r="V362" s="3" t="str">
        <f>IFERROR(MID(VLOOKUP($B362,Seqs!$A:$B,2,0),W362,1),"")</f>
        <v>N</v>
      </c>
      <c r="W362" s="3">
        <v>179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H</v>
      </c>
      <c r="AC362" s="3">
        <v>183</v>
      </c>
      <c r="AD362" s="3" t="str">
        <f>IFERROR(MID(VLOOKUP($B362,Seqs!$A:$B,2,0),AE362,1),"")</f>
        <v>V</v>
      </c>
      <c r="AE362" s="3">
        <v>211</v>
      </c>
      <c r="AF362" s="3" t="str">
        <f>IFERROR(MID(VLOOKUP($B362,Seqs!$A:$B,2,0),AG362,1),"")</f>
        <v>C</v>
      </c>
      <c r="AG362" s="3">
        <v>226</v>
      </c>
      <c r="AH362" s="3" t="str">
        <f>IFERROR(MID(VLOOKUP($B362,Seqs!$A:$B,2,0),AI362,1),"")</f>
        <v>D</v>
      </c>
      <c r="AI362" s="3">
        <v>228</v>
      </c>
      <c r="AJ362" s="3" t="str">
        <f>IFERROR(MID(VLOOKUP($B362,Seqs!$A:$B,2,0),AK362,1),"")</f>
        <v>L</v>
      </c>
      <c r="AK362" s="3">
        <v>235</v>
      </c>
      <c r="AL362" s="3" t="str">
        <f>IFERROR(MID(VLOOKUP($B362,Seqs!$A:$B,2,0),AM362,1),"")</f>
        <v>L</v>
      </c>
      <c r="AM362" s="3">
        <v>269</v>
      </c>
      <c r="AN362" s="3" t="str">
        <f>IFERROR(MID(VLOOKUP($B362,Seqs!$A:$B,2,0),AO362,1),"")</f>
        <v>S</v>
      </c>
      <c r="AO362" s="3">
        <v>278</v>
      </c>
      <c r="AP362" s="3" t="str">
        <f>IFERROR(MID(VLOOKUP($B362,Seqs!$A:$B,2,0),AQ362,1),"")</f>
        <v>Q</v>
      </c>
      <c r="AQ362" s="3">
        <v>317</v>
      </c>
      <c r="AR362" s="3" t="str">
        <f>IFERROR(MID(VLOOKUP($B362,Seqs!$A:$B,2,0),AS362,1),"")</f>
        <v>V</v>
      </c>
      <c r="AS362" s="3">
        <v>322</v>
      </c>
      <c r="AT362" s="3" t="str">
        <f>IFERROR(MID(VLOOKUP($B362,Seqs!$A:$B,2,0),AU362,1),"")</f>
        <v>S</v>
      </c>
      <c r="AU362" s="3">
        <v>348</v>
      </c>
      <c r="AV362" s="3" t="str">
        <f>IFERROR(MID(VLOOKUP($B362,Seqs!$A:$B,2,0),AW362,1),"")</f>
        <v>H</v>
      </c>
      <c r="AW362" s="3">
        <v>349</v>
      </c>
      <c r="AX362" s="3" t="str">
        <f>IFERROR(MID(VLOOKUP($B362,Seqs!$A:$B,2,0),AY362,1),"")</f>
        <v>L</v>
      </c>
      <c r="AY362" s="3">
        <v>359</v>
      </c>
      <c r="AZ362" s="77" t="str">
        <f>VLOOKUP(B362,Classification!A:D,2,0)</f>
        <v>A</v>
      </c>
      <c r="BA362" s="94" t="str">
        <f>VLOOKUP(B362,Classification!A:D,4,0)</f>
        <v>Proteinase-activated</v>
      </c>
      <c r="BB362" s="27" t="b">
        <f t="shared" si="3048"/>
        <v>1</v>
      </c>
      <c r="BC362" s="23">
        <f t="shared" si="3049"/>
        <v>252</v>
      </c>
      <c r="BD362" s="2" t="s">
        <v>23</v>
      </c>
      <c r="BE362" s="3" t="s">
        <v>1422</v>
      </c>
      <c r="BF362" s="118">
        <v>3.6</v>
      </c>
      <c r="BG362" s="49" t="s">
        <v>1</v>
      </c>
      <c r="BH362" s="49" t="s">
        <v>1371</v>
      </c>
      <c r="BI362" s="1"/>
      <c r="BJ362" s="70" t="s">
        <v>1281</v>
      </c>
      <c r="BK362" s="57" t="s">
        <v>1281</v>
      </c>
      <c r="BL362" s="57" t="s">
        <v>1281</v>
      </c>
      <c r="BM362" s="57" t="s">
        <v>1281</v>
      </c>
      <c r="BN362" s="57" t="s">
        <v>1281</v>
      </c>
      <c r="BO362" s="57" t="s">
        <v>1281</v>
      </c>
      <c r="BP362" s="57" t="s">
        <v>1281</v>
      </c>
      <c r="BQ362" s="57" t="s">
        <v>1281</v>
      </c>
      <c r="BR362" s="57" t="s">
        <v>1281</v>
      </c>
      <c r="BS362" s="57" t="s">
        <v>1281</v>
      </c>
      <c r="BT362" s="57" t="s">
        <v>1281</v>
      </c>
      <c r="BU362" s="57" t="s">
        <v>1281</v>
      </c>
      <c r="BV362" s="70">
        <f t="shared" si="3050"/>
        <v>71</v>
      </c>
      <c r="BW362" s="71" t="str">
        <f t="shared" si="3051"/>
        <v>-</v>
      </c>
      <c r="BX362" s="72">
        <f t="shared" si="3052"/>
        <v>108</v>
      </c>
      <c r="BY362" s="71">
        <f t="shared" si="3053"/>
        <v>138</v>
      </c>
      <c r="BZ362" s="72">
        <f t="shared" si="3054"/>
        <v>144</v>
      </c>
      <c r="CA362" s="71" t="str">
        <f t="shared" si="3055"/>
        <v>-</v>
      </c>
      <c r="CB362" s="72">
        <f t="shared" si="3056"/>
        <v>183</v>
      </c>
      <c r="CC362" s="71">
        <f t="shared" si="3057"/>
        <v>226</v>
      </c>
      <c r="CD362" s="72">
        <f t="shared" si="3058"/>
        <v>235</v>
      </c>
      <c r="CE362" s="71">
        <f t="shared" si="3059"/>
        <v>278</v>
      </c>
      <c r="CF362" s="72">
        <f t="shared" si="3060"/>
        <v>322</v>
      </c>
      <c r="CG362" s="71">
        <f t="shared" si="3061"/>
        <v>349</v>
      </c>
      <c r="CH362" s="70">
        <f t="shared" si="3062"/>
        <v>103</v>
      </c>
      <c r="CI362" s="71" t="str">
        <f t="shared" si="3063"/>
        <v>-</v>
      </c>
      <c r="CJ362" s="72">
        <f t="shared" si="3064"/>
        <v>137</v>
      </c>
      <c r="CK362" s="72">
        <f t="shared" si="3065"/>
        <v>143</v>
      </c>
      <c r="CL362" s="72">
        <f t="shared" si="3066"/>
        <v>179</v>
      </c>
      <c r="CM362" s="72" t="str">
        <f t="shared" si="3067"/>
        <v>-</v>
      </c>
      <c r="CN362" s="72">
        <f t="shared" si="3068"/>
        <v>211</v>
      </c>
      <c r="CO362" s="72">
        <f t="shared" si="3069"/>
        <v>228</v>
      </c>
      <c r="CP362" s="72">
        <f t="shared" si="3070"/>
        <v>269</v>
      </c>
      <c r="CQ362" s="72">
        <f t="shared" si="3071"/>
        <v>317</v>
      </c>
      <c r="CR362" s="72">
        <f t="shared" si="3072"/>
        <v>348</v>
      </c>
      <c r="CS362" s="72">
        <f t="shared" si="3073"/>
        <v>359</v>
      </c>
      <c r="CT362" s="23" t="e">
        <f t="shared" si="3074"/>
        <v>#VALUE!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</row>
    <row r="363" spans="1:1029" x14ac:dyDescent="0.2">
      <c r="A363" s="3" t="str">
        <f t="shared" si="3047"/>
        <v>par2_human_5NJ6</v>
      </c>
      <c r="B363" s="3" t="s">
        <v>355</v>
      </c>
      <c r="C363" s="3" t="s">
        <v>1392</v>
      </c>
      <c r="D363" s="3" t="str">
        <f>IFERROR(MID(VLOOKUP($B363,Seqs!$A:$B,2,0),E363,1),"")</f>
        <v>G</v>
      </c>
      <c r="E363" s="3">
        <v>71</v>
      </c>
      <c r="F363" s="3" t="str">
        <f>IFERROR(MID(VLOOKUP($B363,Seqs!$A:$B,2,0),G363,1),"")</f>
        <v>R</v>
      </c>
      <c r="G363" s="3">
        <v>103</v>
      </c>
      <c r="H363" s="3" t="str">
        <f>IFERROR(MID(VLOOKUP($B363,Seqs!$A:$B,2,0),I363,1),"")</f>
        <v/>
      </c>
      <c r="I363" s="23" t="s">
        <v>23</v>
      </c>
      <c r="J363" s="3" t="str">
        <f>IFERROR(MID(VLOOKUP($B363,Seqs!$A:$B,2,0),K363,1),"")</f>
        <v/>
      </c>
      <c r="K363" s="23" t="s">
        <v>23</v>
      </c>
      <c r="L363" s="3" t="str">
        <f>IFERROR(MID(VLOOKUP($B363,Seqs!$A:$B,2,0),M363,1),"")</f>
        <v>H</v>
      </c>
      <c r="M363" s="3">
        <v>108</v>
      </c>
      <c r="N363" s="3" t="str">
        <f>IFERROR(MID(VLOOKUP($B363,Seqs!$A:$B,2,0),O363,1),"")</f>
        <v>H</v>
      </c>
      <c r="O363" s="3">
        <v>137</v>
      </c>
      <c r="P363" s="3" t="str">
        <f>IFERROR(MID(VLOOKUP($B363,Seqs!$A:$B,2,0),Q363,1),"")</f>
        <v>G</v>
      </c>
      <c r="Q363" s="3">
        <v>138</v>
      </c>
      <c r="R363" s="3" t="str">
        <f>IFERROR(MID(VLOOKUP($B363,Seqs!$A:$B,2,0),S363,1),"")</f>
        <v>Y</v>
      </c>
      <c r="S363" s="3">
        <v>143</v>
      </c>
      <c r="T363" s="3" t="str">
        <f>IFERROR(MID(VLOOKUP($B363,Seqs!$A:$B,2,0),U363,1),"")</f>
        <v>G</v>
      </c>
      <c r="U363" s="3">
        <v>144</v>
      </c>
      <c r="V363" s="3" t="str">
        <f>IFERROR(MID(VLOOKUP($B363,Seqs!$A:$B,2,0),W363,1),"")</f>
        <v>N</v>
      </c>
      <c r="W363" s="3">
        <v>179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H</v>
      </c>
      <c r="AC363" s="3">
        <v>183</v>
      </c>
      <c r="AD363" s="3" t="str">
        <f>IFERROR(MID(VLOOKUP($B363,Seqs!$A:$B,2,0),AE363,1),"")</f>
        <v>V</v>
      </c>
      <c r="AE363" s="3">
        <v>211</v>
      </c>
      <c r="AF363" s="3" t="str">
        <f>IFERROR(MID(VLOOKUP($B363,Seqs!$A:$B,2,0),AG363,1),"")</f>
        <v>C</v>
      </c>
      <c r="AG363" s="3">
        <v>226</v>
      </c>
      <c r="AH363" s="3" t="str">
        <f>IFERROR(MID(VLOOKUP($B363,Seqs!$A:$B,2,0),AI363,1),"")</f>
        <v>D</v>
      </c>
      <c r="AI363" s="3">
        <v>228</v>
      </c>
      <c r="AJ363" s="3" t="str">
        <f>IFERROR(MID(VLOOKUP($B363,Seqs!$A:$B,2,0),AK363,1),"")</f>
        <v>L</v>
      </c>
      <c r="AK363" s="3">
        <v>235</v>
      </c>
      <c r="AL363" s="3" t="str">
        <f>IFERROR(MID(VLOOKUP($B363,Seqs!$A:$B,2,0),AM363,1),"")</f>
        <v>L</v>
      </c>
      <c r="AM363" s="3">
        <v>269</v>
      </c>
      <c r="AN363" s="3" t="str">
        <f>IFERROR(MID(VLOOKUP($B363,Seqs!$A:$B,2,0),AO363,1),"")</f>
        <v>S</v>
      </c>
      <c r="AO363" s="3">
        <v>278</v>
      </c>
      <c r="AP363" s="3" t="str">
        <f>IFERROR(MID(VLOOKUP($B363,Seqs!$A:$B,2,0),AQ363,1),"")</f>
        <v>Q</v>
      </c>
      <c r="AQ363" s="3">
        <v>317</v>
      </c>
      <c r="AR363" s="3" t="str">
        <f>IFERROR(MID(VLOOKUP($B363,Seqs!$A:$B,2,0),AS363,1),"")</f>
        <v>V</v>
      </c>
      <c r="AS363" s="3">
        <v>322</v>
      </c>
      <c r="AT363" s="3" t="str">
        <f>IFERROR(MID(VLOOKUP($B363,Seqs!$A:$B,2,0),AU363,1),"")</f>
        <v>S</v>
      </c>
      <c r="AU363" s="3">
        <v>348</v>
      </c>
      <c r="AV363" s="3" t="str">
        <f>IFERROR(MID(VLOOKUP($B363,Seqs!$A:$B,2,0),AW363,1),"")</f>
        <v>H</v>
      </c>
      <c r="AW363" s="3">
        <v>349</v>
      </c>
      <c r="AX363" s="3" t="str">
        <f>IFERROR(MID(VLOOKUP($B363,Seqs!$A:$B,2,0),AY363,1),"")</f>
        <v>L</v>
      </c>
      <c r="AY363" s="3">
        <v>359</v>
      </c>
      <c r="AZ363" s="77" t="str">
        <f>VLOOKUP(B363,Classification!A:D,2,0)</f>
        <v>A</v>
      </c>
      <c r="BA363" s="94" t="str">
        <f>VLOOKUP(B363,Classification!A:D,4,0)</f>
        <v>Proteinase-activated</v>
      </c>
      <c r="BB363" s="27" t="b">
        <f t="shared" si="3048"/>
        <v>1</v>
      </c>
      <c r="BC363" s="23">
        <f t="shared" si="3049"/>
        <v>252</v>
      </c>
      <c r="BD363" s="2" t="s">
        <v>23</v>
      </c>
      <c r="BE363" s="3" t="s">
        <v>1422</v>
      </c>
      <c r="BF363" s="118">
        <v>4</v>
      </c>
      <c r="BG363" s="49" t="s">
        <v>1</v>
      </c>
      <c r="BH363" s="49" t="s">
        <v>1371</v>
      </c>
      <c r="BI363" s="1"/>
      <c r="BJ363" s="70" t="s">
        <v>1281</v>
      </c>
      <c r="BK363" s="57" t="s">
        <v>1281</v>
      </c>
      <c r="BL363" s="57" t="s">
        <v>1281</v>
      </c>
      <c r="BM363" s="57" t="s">
        <v>1281</v>
      </c>
      <c r="BN363" s="57" t="s">
        <v>1281</v>
      </c>
      <c r="BO363" s="57" t="s">
        <v>1281</v>
      </c>
      <c r="BP363" s="57" t="s">
        <v>1281</v>
      </c>
      <c r="BQ363" s="57" t="s">
        <v>1281</v>
      </c>
      <c r="BR363" s="57" t="s">
        <v>1281</v>
      </c>
      <c r="BS363" s="57" t="s">
        <v>1281</v>
      </c>
      <c r="BT363" s="57" t="s">
        <v>1281</v>
      </c>
      <c r="BU363" s="57" t="s">
        <v>1281</v>
      </c>
      <c r="BV363" s="70">
        <f t="shared" si="3050"/>
        <v>71</v>
      </c>
      <c r="BW363" s="71" t="str">
        <f t="shared" si="3051"/>
        <v>-</v>
      </c>
      <c r="BX363" s="72">
        <f t="shared" si="3052"/>
        <v>108</v>
      </c>
      <c r="BY363" s="71">
        <f t="shared" si="3053"/>
        <v>138</v>
      </c>
      <c r="BZ363" s="72">
        <f t="shared" si="3054"/>
        <v>144</v>
      </c>
      <c r="CA363" s="71" t="str">
        <f t="shared" si="3055"/>
        <v>-</v>
      </c>
      <c r="CB363" s="72">
        <f t="shared" si="3056"/>
        <v>183</v>
      </c>
      <c r="CC363" s="71">
        <f t="shared" si="3057"/>
        <v>226</v>
      </c>
      <c r="CD363" s="72">
        <f t="shared" si="3058"/>
        <v>235</v>
      </c>
      <c r="CE363" s="71">
        <f t="shared" si="3059"/>
        <v>278</v>
      </c>
      <c r="CF363" s="72">
        <f t="shared" si="3060"/>
        <v>322</v>
      </c>
      <c r="CG363" s="71">
        <f t="shared" si="3061"/>
        <v>349</v>
      </c>
      <c r="CH363" s="70">
        <f t="shared" si="3062"/>
        <v>103</v>
      </c>
      <c r="CI363" s="71" t="str">
        <f t="shared" si="3063"/>
        <v>-</v>
      </c>
      <c r="CJ363" s="72">
        <f t="shared" si="3064"/>
        <v>137</v>
      </c>
      <c r="CK363" s="72">
        <f t="shared" si="3065"/>
        <v>143</v>
      </c>
      <c r="CL363" s="72">
        <f t="shared" si="3066"/>
        <v>179</v>
      </c>
      <c r="CM363" s="72" t="str">
        <f t="shared" si="3067"/>
        <v>-</v>
      </c>
      <c r="CN363" s="72">
        <f t="shared" si="3068"/>
        <v>211</v>
      </c>
      <c r="CO363" s="72">
        <f t="shared" si="3069"/>
        <v>228</v>
      </c>
      <c r="CP363" s="72">
        <f t="shared" si="3070"/>
        <v>269</v>
      </c>
      <c r="CQ363" s="72">
        <f t="shared" si="3071"/>
        <v>317</v>
      </c>
      <c r="CR363" s="72">
        <f t="shared" si="3072"/>
        <v>348</v>
      </c>
      <c r="CS363" s="72">
        <f t="shared" si="3073"/>
        <v>359</v>
      </c>
      <c r="CT363" s="23" t="e">
        <f t="shared" si="3074"/>
        <v>#VALUE!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</row>
    <row r="364" spans="1:1029" x14ac:dyDescent="0.2">
      <c r="A364" s="3" t="str">
        <f t="shared" ref="A364" si="3075">CONCATENATE(B364,"_",C364)</f>
        <v>pd2r2_human__wt</v>
      </c>
      <c r="B364" s="3" t="s">
        <v>359</v>
      </c>
      <c r="C364" s="3" t="s">
        <v>100</v>
      </c>
      <c r="D364" s="3" t="str">
        <f>IFERROR(MID(VLOOKUP($B364,Seqs!$A:$B,2,0),E364,1),"")</f>
        <v>D</v>
      </c>
      <c r="E364" s="3">
        <v>32</v>
      </c>
      <c r="F364" s="3" t="str">
        <f>IFERROR(MID(VLOOKUP($B364,Seqs!$A:$B,2,0),G364,1),"")</f>
        <v>R</v>
      </c>
      <c r="G364" s="3">
        <v>60</v>
      </c>
      <c r="H364" s="3" t="str">
        <f>IFERROR(MID(VLOOKUP($B364,Seqs!$A:$B,2,0),I364,1),"")</f>
        <v/>
      </c>
      <c r="I364" s="23" t="s">
        <v>23</v>
      </c>
      <c r="J364" s="3" t="str">
        <f>IFERROR(MID(VLOOKUP($B364,Seqs!$A:$B,2,0),K364,1),"")</f>
        <v/>
      </c>
      <c r="K364" s="23" t="s">
        <v>23</v>
      </c>
      <c r="L364" s="3" t="str">
        <f>IFERROR(MID(VLOOKUP($B364,Seqs!$A:$B,2,0),M364,1),"")</f>
        <v>T</v>
      </c>
      <c r="M364" s="3">
        <v>64</v>
      </c>
      <c r="N364" s="3" t="str">
        <f>IFERROR(MID(VLOOKUP($B364,Seqs!$A:$B,2,0),O364,1),"")</f>
        <v>G</v>
      </c>
      <c r="O364" s="3">
        <v>94</v>
      </c>
      <c r="P364" s="3" t="str">
        <f>IFERROR(MID(VLOOKUP($B364,Seqs!$A:$B,2,0),Q364,1),"")</f>
        <v>S</v>
      </c>
      <c r="Q364" s="3">
        <v>96</v>
      </c>
      <c r="R364" s="3" t="str">
        <f>IFERROR(MID(VLOOKUP($B364,Seqs!$A:$B,2,0),S364,1),"")</f>
        <v>L</v>
      </c>
      <c r="S364" s="3">
        <v>99</v>
      </c>
      <c r="T364" s="3" t="str">
        <f>IFERROR(MID(VLOOKUP($B364,Seqs!$A:$B,2,0),U364,1),"")</f>
        <v>G</v>
      </c>
      <c r="U364" s="3">
        <v>100</v>
      </c>
      <c r="V364" s="3" t="str">
        <f>IFERROR(MID(VLOOKUP($B364,Seqs!$A:$B,2,0),W364,1),"")</f>
        <v>R</v>
      </c>
      <c r="W364" s="3">
        <v>135</v>
      </c>
      <c r="X364" s="3" t="str">
        <f>IFERROR(MID(VLOOKUP($B364,Seqs!$A:$B,2,0),Y364,1),"")</f>
        <v>P</v>
      </c>
      <c r="Y364" s="3">
        <v>136</v>
      </c>
      <c r="Z364" s="3" t="str">
        <f>IFERROR(MID(VLOOKUP($B364,Seqs!$A:$B,2,0),AA364,1),"")</f>
        <v>R</v>
      </c>
      <c r="AA364" s="3">
        <v>143</v>
      </c>
      <c r="AB364" s="3" t="str">
        <f>IFERROR(MID(VLOOKUP($B364,Seqs!$A:$B,2,0),AC364,1),"")</f>
        <v>T</v>
      </c>
      <c r="AC364" s="3">
        <v>144</v>
      </c>
      <c r="AD364" s="3" t="str">
        <f>IFERROR(MID(VLOOKUP($B364,Seqs!$A:$B,2,0),AE364,1),"")</f>
        <v>R</v>
      </c>
      <c r="AE364" s="3">
        <v>170</v>
      </c>
      <c r="AF364" s="3" t="str">
        <f>IFERROR(MID(VLOOKUP($B364,Seqs!$A:$B,2,0),AG364,1),"")</f>
        <v>C</v>
      </c>
      <c r="AG364" s="3">
        <v>182</v>
      </c>
      <c r="AH364" s="3" t="str">
        <f>IFERROR(MID(VLOOKUP($B364,Seqs!$A:$B,2,0),AI364,1),"")</f>
        <v>Y</v>
      </c>
      <c r="AI364" s="3">
        <v>184</v>
      </c>
      <c r="AJ364" s="3" t="str">
        <f>IFERROR(MID(VLOOKUP($B364,Seqs!$A:$B,2,0),AK364,1),"")</f>
        <v>D</v>
      </c>
      <c r="AK364" s="3">
        <v>194</v>
      </c>
      <c r="AL364" s="3" t="str">
        <f>IFERROR(MID(VLOOKUP($B364,Seqs!$A:$B,2,0),AM364,1),"")</f>
        <v>R</v>
      </c>
      <c r="AM364" s="3">
        <v>236</v>
      </c>
      <c r="AN364" s="3" t="str">
        <f>IFERROR(MID(VLOOKUP($B364,Seqs!$A:$B,2,0),AO364,1),"")</f>
        <v>P</v>
      </c>
      <c r="AO364" s="3">
        <v>241</v>
      </c>
      <c r="AP364" s="3" t="str">
        <f>IFERROR(MID(VLOOKUP($B364,Seqs!$A:$B,2,0),AQ364,1),"")</f>
        <v>A</v>
      </c>
      <c r="AQ364" s="3">
        <v>272</v>
      </c>
      <c r="AR364" s="3" t="str">
        <f>IFERROR(MID(VLOOKUP($B364,Seqs!$A:$B,2,0),AS364,1),"")</f>
        <v>L</v>
      </c>
      <c r="AS364" s="3">
        <v>278</v>
      </c>
      <c r="AT364" s="3" t="str">
        <f>IFERROR(MID(VLOOKUP($B364,Seqs!$A:$B,2,0),AU364,1),"")</f>
        <v>T</v>
      </c>
      <c r="AU364" s="3">
        <v>307</v>
      </c>
      <c r="AV364" s="3" t="str">
        <f>IFERROR(MID(VLOOKUP($B364,Seqs!$A:$B,2,0),AW364,1),"")</f>
        <v>C</v>
      </c>
      <c r="AW364" s="3">
        <v>308</v>
      </c>
      <c r="AX364" s="3" t="str">
        <f>IFERROR(MID(VLOOKUP($B364,Seqs!$A:$B,2,0),AY364,1),"")</f>
        <v>S</v>
      </c>
      <c r="AY364" s="3">
        <v>325</v>
      </c>
      <c r="AZ364" s="77" t="str">
        <f>VLOOKUP(B364,Classification!A:D,2,0)</f>
        <v>A</v>
      </c>
      <c r="BA364" s="94" t="str">
        <f>VLOOKUP(B364,Classification!A:D,4,0)</f>
        <v>Prostanoid</v>
      </c>
      <c r="BB364" s="27" t="b">
        <f t="shared" ref="BB364" si="3076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077">_xlfn.AGGREGATE(9,6,CH364:CS364)-_xlfn.AGGREGATE(9,6,BV364:CG364)+12</f>
        <v>262</v>
      </c>
      <c r="BD364" s="2" t="s">
        <v>23</v>
      </c>
      <c r="BE364" s="3" t="s">
        <v>23</v>
      </c>
      <c r="BF364" s="118" t="s">
        <v>23</v>
      </c>
      <c r="BG364" s="49" t="s">
        <v>23</v>
      </c>
      <c r="BH364" s="49" t="s">
        <v>23</v>
      </c>
      <c r="BI364" s="1"/>
      <c r="BJ364" s="70" t="s">
        <v>1281</v>
      </c>
      <c r="BK364" s="57" t="s">
        <v>1281</v>
      </c>
      <c r="BL364" s="57" t="s">
        <v>1281</v>
      </c>
      <c r="BM364" s="57" t="s">
        <v>1281</v>
      </c>
      <c r="BN364" s="57" t="s">
        <v>1281</v>
      </c>
      <c r="BO364" s="57" t="s">
        <v>1281</v>
      </c>
      <c r="BP364" s="57" t="s">
        <v>1281</v>
      </c>
      <c r="BQ364" s="57" t="s">
        <v>1281</v>
      </c>
      <c r="BR364" s="57" t="s">
        <v>1281</v>
      </c>
      <c r="BS364" s="57" t="s">
        <v>1281</v>
      </c>
      <c r="BT364" s="57" t="s">
        <v>1281</v>
      </c>
      <c r="BU364" s="57" t="s">
        <v>1281</v>
      </c>
      <c r="BV364" s="70">
        <f t="shared" ref="BV364" si="3078">E364</f>
        <v>32</v>
      </c>
      <c r="BW364" s="71" t="str">
        <f t="shared" ref="BW364" si="3079">I364</f>
        <v>-</v>
      </c>
      <c r="BX364" s="72">
        <f t="shared" ref="BX364" si="3080">M364</f>
        <v>64</v>
      </c>
      <c r="BY364" s="71">
        <f t="shared" ref="BY364" si="3081">Q364</f>
        <v>96</v>
      </c>
      <c r="BZ364" s="72">
        <f t="shared" ref="BZ364" si="3082">U364</f>
        <v>100</v>
      </c>
      <c r="CA364" s="71">
        <f t="shared" ref="CA364" si="3083">Y364</f>
        <v>136</v>
      </c>
      <c r="CB364" s="72">
        <f t="shared" ref="CB364" si="3084">AC364</f>
        <v>144</v>
      </c>
      <c r="CC364" s="71">
        <f t="shared" ref="CC364" si="3085">AG364</f>
        <v>182</v>
      </c>
      <c r="CD364" s="72">
        <f t="shared" ref="CD364" si="3086">AK364</f>
        <v>194</v>
      </c>
      <c r="CE364" s="71">
        <f t="shared" ref="CE364" si="3087">AO364</f>
        <v>241</v>
      </c>
      <c r="CF364" s="72">
        <f t="shared" ref="CF364" si="3088">AS364</f>
        <v>278</v>
      </c>
      <c r="CG364" s="71">
        <f t="shared" ref="CG364" si="3089">AW364</f>
        <v>308</v>
      </c>
      <c r="CH364" s="70">
        <f t="shared" ref="CH364" si="3090">G364</f>
        <v>60</v>
      </c>
      <c r="CI364" s="71" t="str">
        <f t="shared" ref="CI364" si="3091">K364</f>
        <v>-</v>
      </c>
      <c r="CJ364" s="72">
        <f t="shared" ref="CJ364" si="3092">O364</f>
        <v>94</v>
      </c>
      <c r="CK364" s="72">
        <f t="shared" ref="CK364" si="3093">S364</f>
        <v>99</v>
      </c>
      <c r="CL364" s="72">
        <f t="shared" ref="CL364" si="3094">W364</f>
        <v>135</v>
      </c>
      <c r="CM364" s="72">
        <f t="shared" ref="CM364" si="3095">AA364</f>
        <v>143</v>
      </c>
      <c r="CN364" s="72">
        <f t="shared" ref="CN364" si="3096">AE364</f>
        <v>170</v>
      </c>
      <c r="CO364" s="72">
        <f t="shared" ref="CO364" si="3097">AI364</f>
        <v>184</v>
      </c>
      <c r="CP364" s="72">
        <f t="shared" ref="CP364" si="3098">AM364</f>
        <v>236</v>
      </c>
      <c r="CQ364" s="72">
        <f t="shared" ref="CQ364" si="3099">AQ364</f>
        <v>272</v>
      </c>
      <c r="CR364" s="72">
        <f t="shared" ref="CR364" si="3100">AU364</f>
        <v>307</v>
      </c>
      <c r="CS364" s="72">
        <f t="shared" ref="CS364" si="3101">AY364</f>
        <v>325</v>
      </c>
      <c r="CT364" s="23" t="e">
        <f t="shared" ref="CT364" si="3102">M364-K364</f>
        <v>#VALUE!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 t="shared" ref="A365" si="3103">CONCATENATE(B365,"_",C365)</f>
        <v>pd2r2_human_6D26</v>
      </c>
      <c r="B365" s="3" t="s">
        <v>359</v>
      </c>
      <c r="C365" s="3" t="s">
        <v>1511</v>
      </c>
      <c r="D365" s="3" t="str">
        <f>IFERROR(MID(VLOOKUP($B365,Seqs!$A:$B,2,0),E365,1),"")</f>
        <v>D</v>
      </c>
      <c r="E365" s="3">
        <v>32</v>
      </c>
      <c r="F365" s="3" t="str">
        <f>IFERROR(MID(VLOOKUP($B365,Seqs!$A:$B,2,0),G365,1),"")</f>
        <v>R</v>
      </c>
      <c r="G365" s="3">
        <v>60</v>
      </c>
      <c r="H365" s="3" t="str">
        <f>IFERROR(MID(VLOOKUP($B365,Seqs!$A:$B,2,0),I365,1),"")</f>
        <v/>
      </c>
      <c r="I365" s="23" t="s">
        <v>23</v>
      </c>
      <c r="J365" s="3" t="str">
        <f>IFERROR(MID(VLOOKUP($B365,Seqs!$A:$B,2,0),K365,1),"")</f>
        <v/>
      </c>
      <c r="K365" s="23" t="s">
        <v>23</v>
      </c>
      <c r="L365" s="3" t="str">
        <f>IFERROR(MID(VLOOKUP($B365,Seqs!$A:$B,2,0),M365,1),"")</f>
        <v>T</v>
      </c>
      <c r="M365" s="3">
        <v>64</v>
      </c>
      <c r="N365" s="3" t="str">
        <f>IFERROR(MID(VLOOKUP($B365,Seqs!$A:$B,2,0),O365,1),"")</f>
        <v>G</v>
      </c>
      <c r="O365" s="3">
        <v>94</v>
      </c>
      <c r="P365" s="3" t="str">
        <f>IFERROR(MID(VLOOKUP($B365,Seqs!$A:$B,2,0),Q365,1),"")</f>
        <v>S</v>
      </c>
      <c r="Q365" s="3">
        <v>96</v>
      </c>
      <c r="R365" s="3" t="str">
        <f>IFERROR(MID(VLOOKUP($B365,Seqs!$A:$B,2,0),S365,1),"")</f>
        <v>L</v>
      </c>
      <c r="S365" s="3">
        <v>99</v>
      </c>
      <c r="T365" s="3" t="str">
        <f>IFERROR(MID(VLOOKUP($B365,Seqs!$A:$B,2,0),U365,1),"")</f>
        <v>T</v>
      </c>
      <c r="U365" s="3">
        <v>101</v>
      </c>
      <c r="V365" s="3" t="str">
        <f>IFERROR(MID(VLOOKUP($B365,Seqs!$A:$B,2,0),W365,1),"")</f>
        <v>R</v>
      </c>
      <c r="W365" s="3">
        <v>135</v>
      </c>
      <c r="X365" s="3" t="str">
        <f>IFERROR(MID(VLOOKUP($B365,Seqs!$A:$B,2,0),Y365,1),"")</f>
        <v>P</v>
      </c>
      <c r="Y365" s="3">
        <v>136</v>
      </c>
      <c r="Z365" s="3" t="str">
        <f>IFERROR(MID(VLOOKUP($B365,Seqs!$A:$B,2,0),AA365,1),"")</f>
        <v>R</v>
      </c>
      <c r="AA365" s="3">
        <v>143</v>
      </c>
      <c r="AB365" s="3" t="str">
        <f>IFERROR(MID(VLOOKUP($B365,Seqs!$A:$B,2,0),AC365,1),"")</f>
        <v>T</v>
      </c>
      <c r="AC365" s="3">
        <v>144</v>
      </c>
      <c r="AD365" s="3" t="str">
        <f>IFERROR(MID(VLOOKUP($B365,Seqs!$A:$B,2,0),AE365,1),"")</f>
        <v>R</v>
      </c>
      <c r="AE365" s="3">
        <v>170</v>
      </c>
      <c r="AF365" s="3" t="str">
        <f>IFERROR(MID(VLOOKUP($B365,Seqs!$A:$B,2,0),AG365,1),"")</f>
        <v>C</v>
      </c>
      <c r="AG365" s="3">
        <v>182</v>
      </c>
      <c r="AH365" s="3" t="str">
        <f>IFERROR(MID(VLOOKUP($B365,Seqs!$A:$B,2,0),AI365,1),"")</f>
        <v>Y</v>
      </c>
      <c r="AI365" s="3">
        <v>184</v>
      </c>
      <c r="AJ365" s="3" t="str">
        <f>IFERROR(MID(VLOOKUP($B365,Seqs!$A:$B,2,0),AK365,1),"")</f>
        <v>D</v>
      </c>
      <c r="AK365" s="3">
        <v>194</v>
      </c>
      <c r="AL365" s="3" t="str">
        <f>IFERROR(MID(VLOOKUP($B365,Seqs!$A:$B,2,0),AM365,1),"")</f>
        <v>R</v>
      </c>
      <c r="AM365" s="3">
        <v>236</v>
      </c>
      <c r="AN365" s="3" t="str">
        <f>IFERROR(MID(VLOOKUP($B365,Seqs!$A:$B,2,0),AO365,1),"")</f>
        <v/>
      </c>
      <c r="AO365" s="3">
        <v>2244</v>
      </c>
      <c r="AP365" s="3" t="str">
        <f>IFERROR(MID(VLOOKUP($B365,Seqs!$A:$B,2,0),AQ365,1),"")</f>
        <v/>
      </c>
      <c r="AQ365" s="3">
        <v>2271</v>
      </c>
      <c r="AR365" s="3" t="str">
        <f>IFERROR(MID(VLOOKUP($B365,Seqs!$A:$B,2,0),AS365,1),"")</f>
        <v/>
      </c>
      <c r="AS365" s="3">
        <v>2278</v>
      </c>
      <c r="AT365" s="3" t="str">
        <f>IFERROR(MID(VLOOKUP($B365,Seqs!$A:$B,2,0),AU365,1),"")</f>
        <v/>
      </c>
      <c r="AU365" s="3">
        <v>2307</v>
      </c>
      <c r="AV365" s="3" t="str">
        <f>IFERROR(MID(VLOOKUP($B365,Seqs!$A:$B,2,0),AW365,1),"")</f>
        <v/>
      </c>
      <c r="AW365" s="3">
        <v>2308</v>
      </c>
      <c r="AX365" s="3" t="str">
        <f>IFERROR(MID(VLOOKUP($B365,Seqs!$A:$B,2,0),AY365,1),"")</f>
        <v/>
      </c>
      <c r="AY365" s="3">
        <v>2325</v>
      </c>
      <c r="AZ365" s="77" t="str">
        <f>VLOOKUP(B365,Classification!A:D,2,0)</f>
        <v>A</v>
      </c>
      <c r="BA365" s="94" t="str">
        <f>VLOOKUP(B365,Classification!A:D,4,0)</f>
        <v>Prostanoid</v>
      </c>
      <c r="BB365" s="27" t="b">
        <f t="shared" ref="BB365" si="3104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105">_xlfn.AGGREGATE(9,6,CH365:CS365)-_xlfn.AGGREGATE(9,6,BV365:CG365)+12</f>
        <v>257</v>
      </c>
      <c r="BD365" s="2" t="s">
        <v>23</v>
      </c>
      <c r="BE365" s="3" t="s">
        <v>1368</v>
      </c>
      <c r="BF365" s="118">
        <v>2.8</v>
      </c>
      <c r="BG365" s="49" t="s">
        <v>1</v>
      </c>
      <c r="BH365" s="49" t="s">
        <v>1</v>
      </c>
      <c r="BI365" s="1"/>
      <c r="BJ365" s="70" t="s">
        <v>1281</v>
      </c>
      <c r="BK365" s="57" t="s">
        <v>1281</v>
      </c>
      <c r="BL365" s="57" t="s">
        <v>1281</v>
      </c>
      <c r="BM365" s="57" t="s">
        <v>1281</v>
      </c>
      <c r="BN365" s="57" t="s">
        <v>1281</v>
      </c>
      <c r="BO365" s="57" t="s">
        <v>1281</v>
      </c>
      <c r="BP365" s="57" t="s">
        <v>1281</v>
      </c>
      <c r="BQ365" s="57" t="s">
        <v>1281</v>
      </c>
      <c r="BR365" s="57" t="s">
        <v>1281</v>
      </c>
      <c r="BS365" s="57" t="s">
        <v>1281</v>
      </c>
      <c r="BT365" s="57" t="s">
        <v>1281</v>
      </c>
      <c r="BU365" s="57" t="s">
        <v>1281</v>
      </c>
      <c r="BV365" s="70">
        <f t="shared" ref="BV365" si="3106">E365</f>
        <v>32</v>
      </c>
      <c r="BW365" s="71" t="str">
        <f t="shared" ref="BW365" si="3107">I365</f>
        <v>-</v>
      </c>
      <c r="BX365" s="72">
        <f t="shared" ref="BX365" si="3108">M365</f>
        <v>64</v>
      </c>
      <c r="BY365" s="71">
        <f t="shared" ref="BY365" si="3109">Q365</f>
        <v>96</v>
      </c>
      <c r="BZ365" s="72">
        <f t="shared" ref="BZ365" si="3110">U365</f>
        <v>101</v>
      </c>
      <c r="CA365" s="71">
        <f t="shared" ref="CA365" si="3111">Y365</f>
        <v>136</v>
      </c>
      <c r="CB365" s="72">
        <f t="shared" ref="CB365" si="3112">AC365</f>
        <v>144</v>
      </c>
      <c r="CC365" s="71">
        <f t="shared" ref="CC365" si="3113">AG365</f>
        <v>182</v>
      </c>
      <c r="CD365" s="72">
        <f t="shared" ref="CD365" si="3114">AK365</f>
        <v>194</v>
      </c>
      <c r="CE365" s="71">
        <f t="shared" ref="CE365" si="3115">AO365</f>
        <v>2244</v>
      </c>
      <c r="CF365" s="72">
        <f t="shared" ref="CF365" si="3116">AS365</f>
        <v>2278</v>
      </c>
      <c r="CG365" s="71">
        <f t="shared" ref="CG365" si="3117">AW365</f>
        <v>2308</v>
      </c>
      <c r="CH365" s="70">
        <f t="shared" ref="CH365" si="3118">G365</f>
        <v>60</v>
      </c>
      <c r="CI365" s="71" t="str">
        <f t="shared" ref="CI365" si="3119">K365</f>
        <v>-</v>
      </c>
      <c r="CJ365" s="72">
        <f t="shared" ref="CJ365" si="3120">O365</f>
        <v>94</v>
      </c>
      <c r="CK365" s="72">
        <f t="shared" ref="CK365" si="3121">S365</f>
        <v>99</v>
      </c>
      <c r="CL365" s="72">
        <f t="shared" ref="CL365" si="3122">W365</f>
        <v>135</v>
      </c>
      <c r="CM365" s="72">
        <f t="shared" ref="CM365" si="3123">AA365</f>
        <v>143</v>
      </c>
      <c r="CN365" s="72">
        <f t="shared" ref="CN365" si="3124">AE365</f>
        <v>170</v>
      </c>
      <c r="CO365" s="72">
        <f t="shared" ref="CO365" si="3125">AI365</f>
        <v>184</v>
      </c>
      <c r="CP365" s="72">
        <f t="shared" ref="CP365" si="3126">AM365</f>
        <v>236</v>
      </c>
      <c r="CQ365" s="72">
        <f t="shared" ref="CQ365" si="3127">AQ365</f>
        <v>2271</v>
      </c>
      <c r="CR365" s="72">
        <f t="shared" ref="CR365" si="3128">AU365</f>
        <v>2307</v>
      </c>
      <c r="CS365" s="72">
        <f t="shared" ref="CS365" si="3129">AY365</f>
        <v>2325</v>
      </c>
      <c r="CT365" s="23" t="e">
        <f t="shared" ref="CT365" si="3130">M365-K365</f>
        <v>#VALUE!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ref="A366" si="3131">CONCATENATE(B366,"_",C366)</f>
        <v>pd2r2_human_6D27</v>
      </c>
      <c r="B366" s="3" t="s">
        <v>359</v>
      </c>
      <c r="C366" s="3" t="s">
        <v>1536</v>
      </c>
      <c r="D366" s="3" t="str">
        <f>IFERROR(MID(VLOOKUP($B366,Seqs!$A:$B,2,0),E366,1),"")</f>
        <v>D</v>
      </c>
      <c r="E366" s="3">
        <v>32</v>
      </c>
      <c r="F366" s="3" t="str">
        <f>IFERROR(MID(VLOOKUP($B366,Seqs!$A:$B,2,0),G366,1),"")</f>
        <v>R</v>
      </c>
      <c r="G366" s="3">
        <v>60</v>
      </c>
      <c r="H366" s="3" t="str">
        <f>IFERROR(MID(VLOOKUP($B366,Seqs!$A:$B,2,0),I366,1),"")</f>
        <v/>
      </c>
      <c r="I366" s="23" t="s">
        <v>23</v>
      </c>
      <c r="J366" s="3" t="str">
        <f>IFERROR(MID(VLOOKUP($B366,Seqs!$A:$B,2,0),K366,1),"")</f>
        <v/>
      </c>
      <c r="K366" s="23" t="s">
        <v>23</v>
      </c>
      <c r="L366" s="3" t="str">
        <f>IFERROR(MID(VLOOKUP($B366,Seqs!$A:$B,2,0),M366,1),"")</f>
        <v>T</v>
      </c>
      <c r="M366" s="3">
        <v>64</v>
      </c>
      <c r="N366" s="3" t="str">
        <f>IFERROR(MID(VLOOKUP($B366,Seqs!$A:$B,2,0),O366,1),"")</f>
        <v>G</v>
      </c>
      <c r="O366" s="3">
        <v>94</v>
      </c>
      <c r="P366" s="3" t="str">
        <f>IFERROR(MID(VLOOKUP($B366,Seqs!$A:$B,2,0),Q366,1),"")</f>
        <v>S</v>
      </c>
      <c r="Q366" s="3">
        <v>96</v>
      </c>
      <c r="R366" s="3" t="str">
        <f>IFERROR(MID(VLOOKUP($B366,Seqs!$A:$B,2,0),S366,1),"")</f>
        <v>L</v>
      </c>
      <c r="S366" s="3">
        <v>99</v>
      </c>
      <c r="T366" s="3" t="str">
        <f>IFERROR(MID(VLOOKUP($B366,Seqs!$A:$B,2,0),U366,1),"")</f>
        <v>T</v>
      </c>
      <c r="U366" s="3">
        <v>101</v>
      </c>
      <c r="V366" s="3" t="str">
        <f>IFERROR(MID(VLOOKUP($B366,Seqs!$A:$B,2,0),W366,1),"")</f>
        <v>R</v>
      </c>
      <c r="W366" s="3">
        <v>135</v>
      </c>
      <c r="X366" s="3" t="str">
        <f>IFERROR(MID(VLOOKUP($B366,Seqs!$A:$B,2,0),Y366,1),"")</f>
        <v>P</v>
      </c>
      <c r="Y366" s="3">
        <v>136</v>
      </c>
      <c r="Z366" s="3" t="str">
        <f>IFERROR(MID(VLOOKUP($B366,Seqs!$A:$B,2,0),AA366,1),"")</f>
        <v>R</v>
      </c>
      <c r="AA366" s="3">
        <v>143</v>
      </c>
      <c r="AB366" s="3" t="str">
        <f>IFERROR(MID(VLOOKUP($B366,Seqs!$A:$B,2,0),AC366,1),"")</f>
        <v>T</v>
      </c>
      <c r="AC366" s="3">
        <v>144</v>
      </c>
      <c r="AD366" s="3" t="str">
        <f>IFERROR(MID(VLOOKUP($B366,Seqs!$A:$B,2,0),AE366,1),"")</f>
        <v>R</v>
      </c>
      <c r="AE366" s="3">
        <v>170</v>
      </c>
      <c r="AF366" s="3" t="str">
        <f>IFERROR(MID(VLOOKUP($B366,Seqs!$A:$B,2,0),AG366,1),"")</f>
        <v>C</v>
      </c>
      <c r="AG366" s="3">
        <v>182</v>
      </c>
      <c r="AH366" s="3" t="str">
        <f>IFERROR(MID(VLOOKUP($B366,Seqs!$A:$B,2,0),AI366,1),"")</f>
        <v>Y</v>
      </c>
      <c r="AI366" s="3">
        <v>184</v>
      </c>
      <c r="AJ366" s="3" t="str">
        <f>IFERROR(MID(VLOOKUP($B366,Seqs!$A:$B,2,0),AK366,1),"")</f>
        <v>D</v>
      </c>
      <c r="AK366" s="3">
        <v>194</v>
      </c>
      <c r="AL366" s="3" t="str">
        <f>IFERROR(MID(VLOOKUP($B366,Seqs!$A:$B,2,0),AM366,1),"")</f>
        <v>R</v>
      </c>
      <c r="AM366" s="3">
        <v>236</v>
      </c>
      <c r="AN366" s="3" t="str">
        <f>IFERROR(MID(VLOOKUP($B366,Seqs!$A:$B,2,0),AO366,1),"")</f>
        <v/>
      </c>
      <c r="AO366" s="3">
        <v>2244</v>
      </c>
      <c r="AP366" s="3" t="str">
        <f>IFERROR(MID(VLOOKUP($B366,Seqs!$A:$B,2,0),AQ366,1),"")</f>
        <v/>
      </c>
      <c r="AQ366" s="3">
        <v>2271</v>
      </c>
      <c r="AR366" s="3" t="str">
        <f>IFERROR(MID(VLOOKUP($B366,Seqs!$A:$B,2,0),AS366,1),"")</f>
        <v/>
      </c>
      <c r="AS366" s="3">
        <v>2278</v>
      </c>
      <c r="AT366" s="3" t="str">
        <f>IFERROR(MID(VLOOKUP($B366,Seqs!$A:$B,2,0),AU366,1),"")</f>
        <v/>
      </c>
      <c r="AU366" s="3">
        <v>2307</v>
      </c>
      <c r="AV366" s="3" t="str">
        <f>IFERROR(MID(VLOOKUP($B366,Seqs!$A:$B,2,0),AW366,1),"")</f>
        <v/>
      </c>
      <c r="AW366" s="3">
        <v>2308</v>
      </c>
      <c r="AX366" s="3" t="str">
        <f>IFERROR(MID(VLOOKUP($B366,Seqs!$A:$B,2,0),AY366,1),"")</f>
        <v/>
      </c>
      <c r="AY366" s="3">
        <v>2325</v>
      </c>
      <c r="AZ366" s="77" t="str">
        <f>VLOOKUP(B366,Classification!A:D,2,0)</f>
        <v>A</v>
      </c>
      <c r="BA366" s="94" t="str">
        <f>VLOOKUP(B366,Classification!A:D,4,0)</f>
        <v>Prostanoid</v>
      </c>
      <c r="BB366" s="27" t="b">
        <f t="shared" ref="BB366" si="3132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133">_xlfn.AGGREGATE(9,6,CH366:CS366)-_xlfn.AGGREGATE(9,6,BV366:CG366)+12</f>
        <v>257</v>
      </c>
      <c r="BD366" s="2" t="s">
        <v>1370</v>
      </c>
      <c r="BE366" s="3" t="s">
        <v>1368</v>
      </c>
      <c r="BF366" s="118">
        <v>4.74</v>
      </c>
      <c r="BG366" s="49" t="s">
        <v>1</v>
      </c>
      <c r="BH366" s="49" t="s">
        <v>1</v>
      </c>
      <c r="BI366" s="1"/>
      <c r="BJ366" s="70" t="s">
        <v>1281</v>
      </c>
      <c r="BK366" s="57" t="s">
        <v>1281</v>
      </c>
      <c r="BL366" s="57" t="s">
        <v>1281</v>
      </c>
      <c r="BM366" s="57" t="s">
        <v>1281</v>
      </c>
      <c r="BN366" s="57" t="s">
        <v>1281</v>
      </c>
      <c r="BO366" s="57" t="s">
        <v>1281</v>
      </c>
      <c r="BP366" s="57" t="s">
        <v>1281</v>
      </c>
      <c r="BQ366" s="57" t="s">
        <v>1281</v>
      </c>
      <c r="BR366" s="57" t="s">
        <v>1281</v>
      </c>
      <c r="BS366" s="57" t="s">
        <v>1281</v>
      </c>
      <c r="BT366" s="57" t="s">
        <v>1281</v>
      </c>
      <c r="BU366" s="57" t="s">
        <v>1281</v>
      </c>
      <c r="BV366" s="70">
        <f t="shared" ref="BV366" si="3134">E366</f>
        <v>32</v>
      </c>
      <c r="BW366" s="71" t="str">
        <f t="shared" ref="BW366" si="3135">I366</f>
        <v>-</v>
      </c>
      <c r="BX366" s="72">
        <f t="shared" ref="BX366" si="3136">M366</f>
        <v>64</v>
      </c>
      <c r="BY366" s="71">
        <f t="shared" ref="BY366" si="3137">Q366</f>
        <v>96</v>
      </c>
      <c r="BZ366" s="72">
        <f t="shared" ref="BZ366" si="3138">U366</f>
        <v>101</v>
      </c>
      <c r="CA366" s="71">
        <f t="shared" ref="CA366" si="3139">Y366</f>
        <v>136</v>
      </c>
      <c r="CB366" s="72">
        <f t="shared" ref="CB366" si="3140">AC366</f>
        <v>144</v>
      </c>
      <c r="CC366" s="71">
        <f t="shared" ref="CC366" si="3141">AG366</f>
        <v>182</v>
      </c>
      <c r="CD366" s="72">
        <f t="shared" ref="CD366" si="3142">AK366</f>
        <v>194</v>
      </c>
      <c r="CE366" s="71">
        <f t="shared" ref="CE366" si="3143">AO366</f>
        <v>2244</v>
      </c>
      <c r="CF366" s="72">
        <f t="shared" ref="CF366" si="3144">AS366</f>
        <v>2278</v>
      </c>
      <c r="CG366" s="71">
        <f t="shared" ref="CG366" si="3145">AW366</f>
        <v>2308</v>
      </c>
      <c r="CH366" s="70">
        <f t="shared" ref="CH366" si="3146">G366</f>
        <v>60</v>
      </c>
      <c r="CI366" s="71" t="str">
        <f t="shared" ref="CI366" si="3147">K366</f>
        <v>-</v>
      </c>
      <c r="CJ366" s="72">
        <f t="shared" ref="CJ366" si="3148">O366</f>
        <v>94</v>
      </c>
      <c r="CK366" s="72">
        <f t="shared" ref="CK366" si="3149">S366</f>
        <v>99</v>
      </c>
      <c r="CL366" s="72">
        <f t="shared" ref="CL366" si="3150">W366</f>
        <v>135</v>
      </c>
      <c r="CM366" s="72">
        <f t="shared" ref="CM366" si="3151">AA366</f>
        <v>143</v>
      </c>
      <c r="CN366" s="72">
        <f t="shared" ref="CN366" si="3152">AE366</f>
        <v>170</v>
      </c>
      <c r="CO366" s="72">
        <f t="shared" ref="CO366" si="3153">AI366</f>
        <v>184</v>
      </c>
      <c r="CP366" s="72">
        <f t="shared" ref="CP366" si="3154">AM366</f>
        <v>236</v>
      </c>
      <c r="CQ366" s="72">
        <f t="shared" ref="CQ366" si="3155">AQ366</f>
        <v>2271</v>
      </c>
      <c r="CR366" s="72">
        <f t="shared" ref="CR366" si="3156">AU366</f>
        <v>2307</v>
      </c>
      <c r="CS366" s="72">
        <f t="shared" ref="CS366" si="3157">AY366</f>
        <v>2325</v>
      </c>
      <c r="CT366" s="23" t="e">
        <f t="shared" ref="CT366" si="3158">M366-K366</f>
        <v>#VALUE!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s="12" customFormat="1" x14ac:dyDescent="0.2">
      <c r="A367" s="9" t="str">
        <f t="shared" ref="A367:A369" si="3159">CONCATENATE(B367,"_",C367)</f>
        <v>pe2r3_human__wt</v>
      </c>
      <c r="B367" s="9" t="s">
        <v>362</v>
      </c>
      <c r="C367" s="9" t="s">
        <v>100</v>
      </c>
      <c r="D367" s="9" t="str">
        <f>IFERROR(MID(VLOOKUP($B367,Seqs!$A:$B,2,0),E367,1),"")</f>
        <v>V</v>
      </c>
      <c r="E367" s="9">
        <v>52</v>
      </c>
      <c r="F367" s="9" t="str">
        <f>IFERROR(MID(VLOOKUP($B367,Seqs!$A:$B,2,0),G367,1),"")</f>
        <v>R</v>
      </c>
      <c r="G367" s="9">
        <v>78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K</v>
      </c>
      <c r="M367" s="9">
        <v>85</v>
      </c>
      <c r="N367" s="9" t="str">
        <f>IFERROR(MID(VLOOKUP($B367,Seqs!$A:$B,2,0),O367,1),"")</f>
        <v>K</v>
      </c>
      <c r="O367" s="9">
        <v>117</v>
      </c>
      <c r="P367" s="9" t="str">
        <f>IFERROR(MID(VLOOKUP($B367,Seqs!$A:$B,2,0),Q367,1),"")</f>
        <v>Q</v>
      </c>
      <c r="Q367" s="9">
        <v>118</v>
      </c>
      <c r="R367" s="9" t="str">
        <f>IFERROR(MID(VLOOKUP($B367,Seqs!$A:$B,2,0),S367,1),"")</f>
        <v>S</v>
      </c>
      <c r="S367" s="9">
        <v>126</v>
      </c>
      <c r="T367" s="9" t="str">
        <f>IFERROR(MID(VLOOKUP($B367,Seqs!$A:$B,2,0),U367,1),"")</f>
        <v>G</v>
      </c>
      <c r="U367" s="9">
        <v>127</v>
      </c>
      <c r="V367" s="9" t="str">
        <f>IFERROR(MID(VLOOKUP($B367,Seqs!$A:$B,2,0),W367,1),"")</f>
        <v>A</v>
      </c>
      <c r="W367" s="9">
        <v>161</v>
      </c>
      <c r="X367" s="9" t="str">
        <f>IFERROR(MID(VLOOKUP($B367,Seqs!$A:$B,2,0),Y367,1),"")</f>
        <v>P</v>
      </c>
      <c r="Y367" s="9">
        <v>162</v>
      </c>
      <c r="Z367" s="9" t="str">
        <f>IFERROR(MID(VLOOKUP($B367,Seqs!$A:$B,2,0),AA367,1),"")</f>
        <v>M</v>
      </c>
      <c r="AA367" s="9">
        <v>169</v>
      </c>
      <c r="AB367" s="9" t="str">
        <f>IFERROR(MID(VLOOKUP($B367,Seqs!$A:$B,2,0),AC367,1),"")</f>
        <v>K</v>
      </c>
      <c r="AC367" s="9">
        <v>170</v>
      </c>
      <c r="AD367" s="9" t="str">
        <f>IFERROR(MID(VLOOKUP($B367,Seqs!$A:$B,2,0),AE367,1),"")</f>
        <v>G</v>
      </c>
      <c r="AE367" s="9">
        <v>195</v>
      </c>
      <c r="AF367" s="9" t="str">
        <f>IFERROR(MID(VLOOKUP($B367,Seqs!$A:$B,2,0),AG367,1),"")</f>
        <v>C</v>
      </c>
      <c r="AG367" s="9">
        <v>208</v>
      </c>
      <c r="AH367" s="9" t="str">
        <f>IFERROR(MID(VLOOKUP($B367,Seqs!$A:$B,2,0),AI367,1),"")</f>
        <v>I</v>
      </c>
      <c r="AI367" s="9">
        <v>210</v>
      </c>
      <c r="AJ367" s="9" t="str">
        <f>IFERROR(MID(VLOOKUP($B367,Seqs!$A:$B,2,0),AK367,1),"")</f>
        <v>W</v>
      </c>
      <c r="AK367" s="9">
        <v>225</v>
      </c>
      <c r="AL367" s="9" t="str">
        <f>IFERROR(MID(VLOOKUP($B367,Seqs!$A:$B,2,0),AM367,1),"")</f>
        <v>T</v>
      </c>
      <c r="AM367" s="9">
        <v>265</v>
      </c>
      <c r="AN367" s="9" t="str">
        <f>IFERROR(MID(VLOOKUP($B367,Seqs!$A:$B,2,0),AO367,1),"")</f>
        <v>A</v>
      </c>
      <c r="AO367" s="9">
        <v>271</v>
      </c>
      <c r="AP367" s="9" t="str">
        <f>IFERROR(MID(VLOOKUP($B367,Seqs!$A:$B,2,0),AQ367,1),"")</f>
        <v>S</v>
      </c>
      <c r="AQ367" s="9">
        <v>311</v>
      </c>
      <c r="AR367" s="9" t="str">
        <f>IFERROR(MID(VLOOKUP($B367,Seqs!$A:$B,2,0),AS367,1),"")</f>
        <v>T</v>
      </c>
      <c r="AS367" s="9">
        <v>317</v>
      </c>
      <c r="AT367" s="9" t="str">
        <f>IFERROR(MID(VLOOKUP($B367,Seqs!$A:$B,2,0),AU367,1),"")</f>
        <v>Y</v>
      </c>
      <c r="AU367" s="9">
        <v>346</v>
      </c>
      <c r="AV367" s="9" t="str">
        <f>IFERROR(MID(VLOOKUP($B367,Seqs!$A:$B,2,0),AW367,1),"")</f>
        <v>L</v>
      </c>
      <c r="AW367" s="9">
        <v>347</v>
      </c>
      <c r="AX367" s="9" t="str">
        <f>IFERROR(MID(VLOOKUP($B367,Seqs!$A:$B,2,0),AY367,1),"")</f>
        <v>S</v>
      </c>
      <c r="AY367" s="9">
        <v>369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ref="BB367:BB369" si="3160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:BC369" si="3161">_xlfn.AGGREGATE(9,6,CH367:CS367)-_xlfn.AGGREGATE(9,6,BV367:CG367)+12</f>
        <v>277</v>
      </c>
      <c r="BD367" s="40" t="s">
        <v>23</v>
      </c>
      <c r="BE367" s="9" t="s">
        <v>23</v>
      </c>
      <c r="BF367" s="119" t="s">
        <v>23</v>
      </c>
      <c r="BG367" s="51" t="s">
        <v>23</v>
      </c>
      <c r="BH367" s="51" t="s">
        <v>23</v>
      </c>
      <c r="BJ367" s="111" t="s">
        <v>1281</v>
      </c>
      <c r="BK367" s="112" t="s">
        <v>1281</v>
      </c>
      <c r="BL367" s="112" t="s">
        <v>1281</v>
      </c>
      <c r="BM367" s="112" t="s">
        <v>1281</v>
      </c>
      <c r="BN367" s="112" t="s">
        <v>1281</v>
      </c>
      <c r="BO367" s="112" t="s">
        <v>1281</v>
      </c>
      <c r="BP367" s="112" t="s">
        <v>1281</v>
      </c>
      <c r="BQ367" s="112" t="s">
        <v>1281</v>
      </c>
      <c r="BR367" s="112" t="s">
        <v>1281</v>
      </c>
      <c r="BS367" s="112" t="s">
        <v>1281</v>
      </c>
      <c r="BT367" s="112" t="s">
        <v>1281</v>
      </c>
      <c r="BU367" s="112" t="s">
        <v>1281</v>
      </c>
      <c r="BV367" s="111">
        <f t="shared" ref="BV367:BV369" si="3162">E367</f>
        <v>52</v>
      </c>
      <c r="BW367" s="113" t="str">
        <f t="shared" ref="BW367:BW369" si="3163">I367</f>
        <v>-</v>
      </c>
      <c r="BX367" s="114">
        <f t="shared" ref="BX367:BX369" si="3164">M367</f>
        <v>85</v>
      </c>
      <c r="BY367" s="113">
        <f t="shared" ref="BY367:BY369" si="3165">Q367</f>
        <v>118</v>
      </c>
      <c r="BZ367" s="114">
        <f t="shared" ref="BZ367:BZ369" si="3166">U367</f>
        <v>127</v>
      </c>
      <c r="CA367" s="113">
        <f t="shared" ref="CA367:CA369" si="3167">Y367</f>
        <v>162</v>
      </c>
      <c r="CB367" s="114">
        <f t="shared" ref="CB367:CB369" si="3168">AC367</f>
        <v>170</v>
      </c>
      <c r="CC367" s="113">
        <f t="shared" ref="CC367:CC369" si="3169">AG367</f>
        <v>208</v>
      </c>
      <c r="CD367" s="114">
        <f t="shared" ref="CD367:CD369" si="3170">AK367</f>
        <v>225</v>
      </c>
      <c r="CE367" s="113">
        <f t="shared" ref="CE367:CE369" si="3171">AO367</f>
        <v>271</v>
      </c>
      <c r="CF367" s="114">
        <f t="shared" ref="CF367:CF369" si="3172">AS367</f>
        <v>317</v>
      </c>
      <c r="CG367" s="113">
        <f t="shared" ref="CG367:CG369" si="3173">AW367</f>
        <v>347</v>
      </c>
      <c r="CH367" s="111">
        <f t="shared" ref="CH367:CH369" si="3174">G367</f>
        <v>78</v>
      </c>
      <c r="CI367" s="113" t="str">
        <f t="shared" ref="CI367:CI369" si="3175">K367</f>
        <v>-</v>
      </c>
      <c r="CJ367" s="114">
        <f t="shared" ref="CJ367:CJ369" si="3176">O367</f>
        <v>117</v>
      </c>
      <c r="CK367" s="114">
        <f t="shared" ref="CK367:CK369" si="3177">S367</f>
        <v>126</v>
      </c>
      <c r="CL367" s="114">
        <f t="shared" ref="CL367:CL369" si="3178">W367</f>
        <v>161</v>
      </c>
      <c r="CM367" s="114">
        <f t="shared" ref="CM367:CM369" si="3179">AA367</f>
        <v>169</v>
      </c>
      <c r="CN367" s="114">
        <f t="shared" ref="CN367:CN369" si="3180">AE367</f>
        <v>195</v>
      </c>
      <c r="CO367" s="114">
        <f t="shared" ref="CO367:CO369" si="3181">AI367</f>
        <v>210</v>
      </c>
      <c r="CP367" s="114">
        <f t="shared" ref="CP367:CP369" si="3182">AM367</f>
        <v>265</v>
      </c>
      <c r="CQ367" s="114">
        <f t="shared" ref="CQ367:CQ369" si="3183">AQ367</f>
        <v>311</v>
      </c>
      <c r="CR367" s="114">
        <f t="shared" ref="CR367:CR369" si="3184">AU367</f>
        <v>346</v>
      </c>
      <c r="CS367" s="114">
        <f t="shared" ref="CS367:CS369" si="3185">AY367</f>
        <v>369</v>
      </c>
      <c r="CT367" s="109" t="e">
        <f t="shared" ref="CT367:CT369" si="3186">M367-K367</f>
        <v>#VALUE!</v>
      </c>
    </row>
    <row r="368" spans="1:1029" s="12" customFormat="1" x14ac:dyDescent="0.2">
      <c r="A368" s="9" t="str">
        <f t="shared" ref="A368" si="3187">CONCATENATE(B368,"_",C368)</f>
        <v>pe2r3_human_6AK3</v>
      </c>
      <c r="B368" s="9" t="s">
        <v>362</v>
      </c>
      <c r="C368" s="9" t="s">
        <v>1533</v>
      </c>
      <c r="D368" s="9" t="str">
        <f>IFERROR(MID(VLOOKUP($B368,Seqs!$A:$B,2,0),E368,1),"")</f>
        <v>V</v>
      </c>
      <c r="E368" s="9">
        <v>52</v>
      </c>
      <c r="F368" s="9" t="str">
        <f>IFERROR(MID(VLOOKUP($B368,Seqs!$A:$B,2,0),G368,1),"")</f>
        <v>Y</v>
      </c>
      <c r="G368" s="9">
        <v>77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K</v>
      </c>
      <c r="M368" s="9">
        <v>86</v>
      </c>
      <c r="N368" s="9" t="str">
        <f>IFERROR(MID(VLOOKUP($B368,Seqs!$A:$B,2,0),O368,1),"")</f>
        <v>K</v>
      </c>
      <c r="O368" s="9">
        <v>117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G</v>
      </c>
      <c r="U368" s="9">
        <v>127</v>
      </c>
      <c r="V368" s="9" t="str">
        <f>IFERROR(MID(VLOOKUP($B368,Seqs!$A:$B,2,0),W368,1),"")</f>
        <v>A</v>
      </c>
      <c r="W368" s="9">
        <v>161</v>
      </c>
      <c r="X368" s="9" t="str">
        <f>IFERROR(MID(VLOOKUP($B368,Seqs!$A:$B,2,0),Y368,1),"")</f>
        <v>P</v>
      </c>
      <c r="Y368" s="9">
        <v>162</v>
      </c>
      <c r="Z368" s="9" t="str">
        <f>IFERROR(MID(VLOOKUP($B368,Seqs!$A:$B,2,0),AA368,1),"")</f>
        <v>M</v>
      </c>
      <c r="AA368" s="9">
        <v>169</v>
      </c>
      <c r="AB368" s="9" t="str">
        <f>IFERROR(MID(VLOOKUP($B368,Seqs!$A:$B,2,0),AC368,1),"")</f>
        <v>K</v>
      </c>
      <c r="AC368" s="9">
        <v>170</v>
      </c>
      <c r="AD368" s="9" t="str">
        <f>IFERROR(MID(VLOOKUP($B368,Seqs!$A:$B,2,0),AE368,1),"")</f>
        <v>G</v>
      </c>
      <c r="AE368" s="9">
        <v>195</v>
      </c>
      <c r="AF368" s="9" t="str">
        <f>IFERROR(MID(VLOOKUP($B368,Seqs!$A:$B,2,0),AG368,1),"")</f>
        <v>C</v>
      </c>
      <c r="AG368" s="9">
        <v>208</v>
      </c>
      <c r="AH368" s="9" t="str">
        <f>IFERROR(MID(VLOOKUP($B368,Seqs!$A:$B,2,0),AI368,1),"")</f>
        <v>I</v>
      </c>
      <c r="AI368" s="9">
        <v>210</v>
      </c>
      <c r="AJ368" s="9" t="str">
        <f>IFERROR(MID(VLOOKUP($B368,Seqs!$A:$B,2,0),AK368,1),"")</f>
        <v>G</v>
      </c>
      <c r="AK368" s="9">
        <v>226</v>
      </c>
      <c r="AL368" s="9" t="str">
        <f>IFERROR(MID(VLOOKUP($B368,Seqs!$A:$B,2,0),AM368,1),"")</f>
        <v>A</v>
      </c>
      <c r="AM368" s="9">
        <v>264</v>
      </c>
      <c r="AN368" s="9" t="str">
        <f>IFERROR(MID(VLOOKUP($B368,Seqs!$A:$B,2,0),AO368,1),"")</f>
        <v>A</v>
      </c>
      <c r="AO368" s="9">
        <v>271</v>
      </c>
      <c r="AP368" s="9" t="str">
        <f>IFERROR(MID(VLOOKUP($B368,Seqs!$A:$B,2,0),AQ368,1),"")</f>
        <v>F</v>
      </c>
      <c r="AQ368" s="9">
        <v>307</v>
      </c>
      <c r="AR368" s="9" t="str">
        <f>IFERROR(MID(VLOOKUP($B368,Seqs!$A:$B,2,0),AS368,1),"")</f>
        <v>K</v>
      </c>
      <c r="AS368" s="9">
        <v>323</v>
      </c>
      <c r="AT368" s="9" t="str">
        <f>IFERROR(MID(VLOOKUP($B368,Seqs!$A:$B,2,0),AU368,1),"")</f>
        <v>Y</v>
      </c>
      <c r="AU368" s="9">
        <v>346</v>
      </c>
      <c r="AV368" s="9" t="str">
        <f>IFERROR(MID(VLOOKUP($B368,Seqs!$A:$B,2,0),AW368,1),"")</f>
        <v>L</v>
      </c>
      <c r="AW368" s="9">
        <v>347</v>
      </c>
      <c r="AX368" s="9" t="str">
        <f>IFERROR(MID(VLOOKUP($B368,Seqs!$A:$B,2,0),AY368,1),"")</f>
        <v>L</v>
      </c>
      <c r="AY368" s="9">
        <v>353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" si="3188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" si="3189">_xlfn.AGGREGATE(9,6,CH368:CS368)-_xlfn.AGGREGATE(9,6,BV368:CG368)+12</f>
        <v>239</v>
      </c>
      <c r="BD368" s="40" t="s">
        <v>1369</v>
      </c>
      <c r="BE368" s="9" t="s">
        <v>1285</v>
      </c>
      <c r="BF368" s="119">
        <v>2.9</v>
      </c>
      <c r="BG368" s="51" t="s">
        <v>1275</v>
      </c>
      <c r="BH368" s="51" t="s">
        <v>1275</v>
      </c>
      <c r="BJ368" s="111" t="s">
        <v>1281</v>
      </c>
      <c r="BK368" s="112" t="s">
        <v>1281</v>
      </c>
      <c r="BL368" s="112" t="s">
        <v>1281</v>
      </c>
      <c r="BM368" s="112" t="s">
        <v>1281</v>
      </c>
      <c r="BN368" s="112" t="s">
        <v>1281</v>
      </c>
      <c r="BO368" s="112" t="s">
        <v>1281</v>
      </c>
      <c r="BP368" s="112" t="s">
        <v>1281</v>
      </c>
      <c r="BQ368" s="112" t="s">
        <v>1281</v>
      </c>
      <c r="BR368" s="112" t="s">
        <v>1281</v>
      </c>
      <c r="BS368" s="112" t="s">
        <v>1281</v>
      </c>
      <c r="BT368" s="112" t="s">
        <v>1281</v>
      </c>
      <c r="BU368" s="112" t="s">
        <v>1281</v>
      </c>
      <c r="BV368" s="111">
        <f t="shared" ref="BV368" si="3190">E368</f>
        <v>52</v>
      </c>
      <c r="BW368" s="113" t="str">
        <f t="shared" ref="BW368" si="3191">I368</f>
        <v>-</v>
      </c>
      <c r="BX368" s="114">
        <f t="shared" ref="BX368" si="3192">M368</f>
        <v>86</v>
      </c>
      <c r="BY368" s="113" t="str">
        <f t="shared" ref="BY368" si="3193">Q368</f>
        <v>-</v>
      </c>
      <c r="BZ368" s="114">
        <f t="shared" ref="BZ368" si="3194">U368</f>
        <v>127</v>
      </c>
      <c r="CA368" s="113">
        <f t="shared" ref="CA368" si="3195">Y368</f>
        <v>162</v>
      </c>
      <c r="CB368" s="114">
        <f t="shared" ref="CB368" si="3196">AC368</f>
        <v>170</v>
      </c>
      <c r="CC368" s="113">
        <f t="shared" ref="CC368" si="3197">AG368</f>
        <v>208</v>
      </c>
      <c r="CD368" s="114">
        <f t="shared" ref="CD368" si="3198">AK368</f>
        <v>226</v>
      </c>
      <c r="CE368" s="113">
        <f t="shared" ref="CE368" si="3199">AO368</f>
        <v>271</v>
      </c>
      <c r="CF368" s="114">
        <f t="shared" ref="CF368" si="3200">AS368</f>
        <v>323</v>
      </c>
      <c r="CG368" s="113">
        <f t="shared" ref="CG368" si="3201">AW368</f>
        <v>347</v>
      </c>
      <c r="CH368" s="111">
        <f t="shared" ref="CH368" si="3202">G368</f>
        <v>77</v>
      </c>
      <c r="CI368" s="113" t="str">
        <f t="shared" ref="CI368" si="3203">K368</f>
        <v>-</v>
      </c>
      <c r="CJ368" s="114">
        <f t="shared" ref="CJ368" si="3204">O368</f>
        <v>117</v>
      </c>
      <c r="CK368" s="114" t="str">
        <f t="shared" ref="CK368" si="3205">S368</f>
        <v>-</v>
      </c>
      <c r="CL368" s="114">
        <f t="shared" ref="CL368" si="3206">W368</f>
        <v>161</v>
      </c>
      <c r="CM368" s="114">
        <f t="shared" ref="CM368" si="3207">AA368</f>
        <v>169</v>
      </c>
      <c r="CN368" s="114">
        <f t="shared" ref="CN368" si="3208">AE368</f>
        <v>195</v>
      </c>
      <c r="CO368" s="114">
        <f t="shared" ref="CO368" si="3209">AI368</f>
        <v>210</v>
      </c>
      <c r="CP368" s="114">
        <f t="shared" ref="CP368" si="3210">AM368</f>
        <v>264</v>
      </c>
      <c r="CQ368" s="114">
        <f t="shared" ref="CQ368" si="3211">AQ368</f>
        <v>307</v>
      </c>
      <c r="CR368" s="114">
        <f t="shared" ref="CR368" si="3212">AU368</f>
        <v>346</v>
      </c>
      <c r="CS368" s="114">
        <f t="shared" ref="CS368" si="3213">AY368</f>
        <v>353</v>
      </c>
      <c r="CT368" s="109" t="e">
        <f t="shared" ref="CT368" si="3214">M368-K368</f>
        <v>#VALUE!</v>
      </c>
    </row>
    <row r="369" spans="1:1029" s="12" customFormat="1" x14ac:dyDescent="0.2">
      <c r="A369" s="9" t="str">
        <f t="shared" si="3159"/>
        <v>pe2r3_human_6M9T</v>
      </c>
      <c r="B369" s="9" t="s">
        <v>362</v>
      </c>
      <c r="C369" s="9" t="s">
        <v>1532</v>
      </c>
      <c r="D369" s="9" t="str">
        <f>IFERROR(MID(VLOOKUP($B369,Seqs!$A:$B,2,0),E369,1),"")</f>
        <v>V</v>
      </c>
      <c r="E369" s="9">
        <v>52</v>
      </c>
      <c r="F369" s="9" t="str">
        <f>IFERROR(MID(VLOOKUP($B369,Seqs!$A:$B,2,0),G369,1),"")</f>
        <v>R</v>
      </c>
      <c r="G369" s="9">
        <v>78</v>
      </c>
      <c r="H369" s="9" t="str">
        <f>IFERROR(MID(VLOOKUP($B369,Seqs!$A:$B,2,0),I369,1),"")</f>
        <v/>
      </c>
      <c r="I369" s="109" t="s">
        <v>23</v>
      </c>
      <c r="J369" s="9" t="str">
        <f>IFERROR(MID(VLOOKUP($B369,Seqs!$A:$B,2,0),K369,1),"")</f>
        <v/>
      </c>
      <c r="K369" s="109" t="s">
        <v>23</v>
      </c>
      <c r="L369" s="9" t="str">
        <f>IFERROR(MID(VLOOKUP($B369,Seqs!$A:$B,2,0),M369,1),"")</f>
        <v>K</v>
      </c>
      <c r="M369" s="9">
        <v>85</v>
      </c>
      <c r="N369" s="9" t="str">
        <f>IFERROR(MID(VLOOKUP($B369,Seqs!$A:$B,2,0),O369,1),"")</f>
        <v>K</v>
      </c>
      <c r="O369" s="9">
        <v>117</v>
      </c>
      <c r="P369" s="9" t="str">
        <f>IFERROR(MID(VLOOKUP($B369,Seqs!$A:$B,2,0),Q369,1),"")</f>
        <v>Q</v>
      </c>
      <c r="Q369" s="9">
        <v>118</v>
      </c>
      <c r="R369" s="9" t="str">
        <f>IFERROR(MID(VLOOKUP($B369,Seqs!$A:$B,2,0),S369,1),"")</f>
        <v>S</v>
      </c>
      <c r="S369" s="9">
        <v>126</v>
      </c>
      <c r="T369" s="9" t="str">
        <f>IFERROR(MID(VLOOKUP($B369,Seqs!$A:$B,2,0),U369,1),"")</f>
        <v>G</v>
      </c>
      <c r="U369" s="9">
        <v>127</v>
      </c>
      <c r="V369" s="9" t="str">
        <f>IFERROR(MID(VLOOKUP($B369,Seqs!$A:$B,2,0),W369,1),"")</f>
        <v>A</v>
      </c>
      <c r="W369" s="9">
        <v>161</v>
      </c>
      <c r="X369" s="9" t="str">
        <f>IFERROR(MID(VLOOKUP($B369,Seqs!$A:$B,2,0),Y369,1),"")</f>
        <v>P</v>
      </c>
      <c r="Y369" s="9">
        <v>162</v>
      </c>
      <c r="Z369" s="9" t="str">
        <f>IFERROR(MID(VLOOKUP($B369,Seqs!$A:$B,2,0),AA369,1),"")</f>
        <v>M</v>
      </c>
      <c r="AA369" s="9">
        <v>169</v>
      </c>
      <c r="AB369" s="9" t="str">
        <f>IFERROR(MID(VLOOKUP($B369,Seqs!$A:$B,2,0),AC369,1),"")</f>
        <v>K</v>
      </c>
      <c r="AC369" s="9">
        <v>170</v>
      </c>
      <c r="AD369" s="9" t="str">
        <f>IFERROR(MID(VLOOKUP($B369,Seqs!$A:$B,2,0),AE369,1),"")</f>
        <v>G</v>
      </c>
      <c r="AE369" s="9">
        <v>195</v>
      </c>
      <c r="AF369" s="9" t="str">
        <f>IFERROR(MID(VLOOKUP($B369,Seqs!$A:$B,2,0),AG369,1),"")</f>
        <v>C</v>
      </c>
      <c r="AG369" s="9">
        <v>208</v>
      </c>
      <c r="AH369" s="9" t="str">
        <f>IFERROR(MID(VLOOKUP($B369,Seqs!$A:$B,2,0),AI369,1),"")</f>
        <v>I</v>
      </c>
      <c r="AI369" s="9">
        <v>210</v>
      </c>
      <c r="AJ369" s="9" t="str">
        <f>IFERROR(MID(VLOOKUP($B369,Seqs!$A:$B,2,0),AK369,1),"")</f>
        <v>W</v>
      </c>
      <c r="AK369" s="9">
        <v>225</v>
      </c>
      <c r="AL369" s="9" t="str">
        <f>IFERROR(MID(VLOOKUP($B369,Seqs!$A:$B,2,0),AM369,1),"")</f>
        <v>S</v>
      </c>
      <c r="AM369" s="9">
        <v>258</v>
      </c>
      <c r="AN369" s="9" t="str">
        <f>IFERROR(MID(VLOOKUP($B369,Seqs!$A:$B,2,0),AO369,1),"")</f>
        <v>R</v>
      </c>
      <c r="AO369" s="9">
        <v>275</v>
      </c>
      <c r="AP369" s="9" t="str">
        <f>IFERROR(MID(VLOOKUP($B369,Seqs!$A:$B,2,0),AQ369,1),"")</f>
        <v>F</v>
      </c>
      <c r="AQ369" s="9">
        <v>307</v>
      </c>
      <c r="AR369" s="9" t="str">
        <f>IFERROR(MID(VLOOKUP($B369,Seqs!$A:$B,2,0),AS369,1),"")</f>
        <v>K</v>
      </c>
      <c r="AS369" s="9">
        <v>323</v>
      </c>
      <c r="AT369" s="9" t="str">
        <f>IFERROR(MID(VLOOKUP($B369,Seqs!$A:$B,2,0),AU369,1),"")</f>
        <v>Y</v>
      </c>
      <c r="AU369" s="9">
        <v>346</v>
      </c>
      <c r="AV369" s="9" t="str">
        <f>IFERROR(MID(VLOOKUP($B369,Seqs!$A:$B,2,0),AW369,1),"")</f>
        <v>L</v>
      </c>
      <c r="AW369" s="9">
        <v>347</v>
      </c>
      <c r="AX369" s="9" t="str">
        <f>IFERROR(MID(VLOOKUP($B369,Seqs!$A:$B,2,0),AY369,1),"")</f>
        <v>L</v>
      </c>
      <c r="AY369" s="9">
        <v>353</v>
      </c>
      <c r="AZ369" s="110" t="str">
        <f>VLOOKUP(B369,Classification!A:D,2,0)</f>
        <v>A</v>
      </c>
      <c r="BA369" s="98" t="str">
        <f>VLOOKUP(B369,Classification!A:D,4,0)</f>
        <v>Prostanoid</v>
      </c>
      <c r="BB369" s="36" t="b">
        <f t="shared" si="3160"/>
        <v>1</v>
      </c>
      <c r="BC369" s="109">
        <f t="shared" si="3161"/>
        <v>240</v>
      </c>
      <c r="BD369" s="40" t="s">
        <v>1423</v>
      </c>
      <c r="BE369" s="9" t="s">
        <v>1465</v>
      </c>
      <c r="BF369" s="119">
        <v>2.5</v>
      </c>
      <c r="BG369" s="51" t="s">
        <v>1</v>
      </c>
      <c r="BH369" s="51" t="s">
        <v>1</v>
      </c>
      <c r="BJ369" s="111" t="s">
        <v>1281</v>
      </c>
      <c r="BK369" s="112" t="s">
        <v>1281</v>
      </c>
      <c r="BL369" s="112" t="s">
        <v>1281</v>
      </c>
      <c r="BM369" s="112" t="s">
        <v>1281</v>
      </c>
      <c r="BN369" s="112" t="s">
        <v>1281</v>
      </c>
      <c r="BO369" s="112" t="s">
        <v>1281</v>
      </c>
      <c r="BP369" s="112" t="s">
        <v>1281</v>
      </c>
      <c r="BQ369" s="112" t="s">
        <v>1281</v>
      </c>
      <c r="BR369" s="112" t="s">
        <v>1281</v>
      </c>
      <c r="BS369" s="112" t="s">
        <v>1281</v>
      </c>
      <c r="BT369" s="112" t="s">
        <v>1281</v>
      </c>
      <c r="BU369" s="112" t="s">
        <v>1281</v>
      </c>
      <c r="BV369" s="111">
        <f t="shared" si="3162"/>
        <v>52</v>
      </c>
      <c r="BW369" s="113" t="str">
        <f t="shared" si="3163"/>
        <v>-</v>
      </c>
      <c r="BX369" s="114">
        <f t="shared" si="3164"/>
        <v>85</v>
      </c>
      <c r="BY369" s="113">
        <f t="shared" si="3165"/>
        <v>118</v>
      </c>
      <c r="BZ369" s="114">
        <f t="shared" si="3166"/>
        <v>127</v>
      </c>
      <c r="CA369" s="113">
        <f t="shared" si="3167"/>
        <v>162</v>
      </c>
      <c r="CB369" s="114">
        <f t="shared" si="3168"/>
        <v>170</v>
      </c>
      <c r="CC369" s="113">
        <f t="shared" si="3169"/>
        <v>208</v>
      </c>
      <c r="CD369" s="114">
        <f t="shared" si="3170"/>
        <v>225</v>
      </c>
      <c r="CE369" s="113">
        <f t="shared" si="3171"/>
        <v>275</v>
      </c>
      <c r="CF369" s="114">
        <f t="shared" si="3172"/>
        <v>323</v>
      </c>
      <c r="CG369" s="113">
        <f t="shared" si="3173"/>
        <v>347</v>
      </c>
      <c r="CH369" s="111">
        <f t="shared" si="3174"/>
        <v>78</v>
      </c>
      <c r="CI369" s="113" t="str">
        <f t="shared" si="3175"/>
        <v>-</v>
      </c>
      <c r="CJ369" s="114">
        <f t="shared" si="3176"/>
        <v>117</v>
      </c>
      <c r="CK369" s="114">
        <f t="shared" si="3177"/>
        <v>126</v>
      </c>
      <c r="CL369" s="114">
        <f t="shared" si="3178"/>
        <v>161</v>
      </c>
      <c r="CM369" s="114">
        <f t="shared" si="3179"/>
        <v>169</v>
      </c>
      <c r="CN369" s="114">
        <f t="shared" si="3180"/>
        <v>195</v>
      </c>
      <c r="CO369" s="114">
        <f t="shared" si="3181"/>
        <v>210</v>
      </c>
      <c r="CP369" s="114">
        <f t="shared" si="3182"/>
        <v>258</v>
      </c>
      <c r="CQ369" s="114">
        <f t="shared" si="3183"/>
        <v>307</v>
      </c>
      <c r="CR369" s="114">
        <f t="shared" si="3184"/>
        <v>346</v>
      </c>
      <c r="CS369" s="114">
        <f t="shared" si="3185"/>
        <v>353</v>
      </c>
      <c r="CT369" s="109" t="e">
        <f t="shared" si="3186"/>
        <v>#VALUE!</v>
      </c>
    </row>
    <row r="370" spans="1:1029" x14ac:dyDescent="0.2">
      <c r="A370" s="9" t="str">
        <f t="shared" ref="A370" si="3215">CONCATENATE(B370,"_",C370)</f>
        <v>pe2r4_human__wt</v>
      </c>
      <c r="B370" s="9" t="s">
        <v>363</v>
      </c>
      <c r="C370" s="9" t="s">
        <v>100</v>
      </c>
      <c r="D370" s="9" t="str">
        <f>IFERROR(MID(VLOOKUP($B370,Seqs!$A:$B,2,0),E370,1),"")</f>
        <v>N</v>
      </c>
      <c r="E370" s="9">
        <v>18</v>
      </c>
      <c r="F370" s="9" t="str">
        <f>IFERROR(MID(VLOOKUP($B370,Seqs!$A:$B,2,0),G370,1),"")</f>
        <v>C</v>
      </c>
      <c r="G370" s="9">
        <v>43</v>
      </c>
      <c r="H370" s="9" t="str">
        <f>IFERROR(MID(VLOOKUP($B370,Seqs!$A:$B,2,0),I370,1),"")</f>
        <v/>
      </c>
      <c r="I370" s="109" t="s">
        <v>23</v>
      </c>
      <c r="J370" s="9" t="str">
        <f>IFERROR(MID(VLOOKUP($B370,Seqs!$A:$B,2,0),K370,1),"")</f>
        <v/>
      </c>
      <c r="K370" s="109" t="s">
        <v>23</v>
      </c>
      <c r="L370" s="9" t="str">
        <f>IFERROR(MID(VLOOKUP($B370,Seqs!$A:$B,2,0),M370,1),"")</f>
        <v>E</v>
      </c>
      <c r="M370" s="9">
        <v>51</v>
      </c>
      <c r="N370" s="9" t="str">
        <f>IFERROR(MID(VLOOKUP($B370,Seqs!$A:$B,2,0),O370,1),"")</f>
        <v>K</v>
      </c>
      <c r="O370" s="9">
        <v>82</v>
      </c>
      <c r="P370" s="9" t="str">
        <f>IFERROR(MID(VLOOKUP($B370,Seqs!$A:$B,2,0),Q370,1),"")</f>
        <v>Q</v>
      </c>
      <c r="Q370" s="9">
        <v>84</v>
      </c>
      <c r="R370" s="9" t="str">
        <f>IFERROR(MID(VLOOKUP($B370,Seqs!$A:$B,2,0),S370,1),"")</f>
        <v>G</v>
      </c>
      <c r="S370" s="9">
        <v>87</v>
      </c>
      <c r="T370" s="9" t="str">
        <f>IFERROR(MID(VLOOKUP($B370,Seqs!$A:$B,2,0),U370,1),"")</f>
        <v>G</v>
      </c>
      <c r="U370" s="9">
        <v>88</v>
      </c>
      <c r="V370" s="9" t="str">
        <f>IFERROR(MID(VLOOKUP($B370,Seqs!$A:$B,2,0),W370,1),"")</f>
        <v>H</v>
      </c>
      <c r="W370" s="9">
        <v>123</v>
      </c>
      <c r="X370" s="9" t="str">
        <f>IFERROR(MID(VLOOKUP($B370,Seqs!$A:$B,2,0),Y370,1),"")</f>
        <v>A</v>
      </c>
      <c r="Y370" s="9">
        <v>124</v>
      </c>
      <c r="Z370" s="9" t="str">
        <f>IFERROR(MID(VLOOKUP($B370,Seqs!$A:$B,2,0),AA370,1),"")</f>
        <v>V</v>
      </c>
      <c r="AA370" s="9">
        <v>131</v>
      </c>
      <c r="AB370" s="9" t="str">
        <f>IFERROR(MID(VLOOKUP($B370,Seqs!$A:$B,2,0),AC370,1),"")</f>
        <v>D</v>
      </c>
      <c r="AC370" s="9">
        <v>132</v>
      </c>
      <c r="AD370" s="9" t="str">
        <f>IFERROR(MID(VLOOKUP($B370,Seqs!$A:$B,2,0),AE370,1),"")</f>
        <v>G</v>
      </c>
      <c r="AE370" s="9">
        <v>157</v>
      </c>
      <c r="AF370" s="9" t="str">
        <f>IFERROR(MID(VLOOKUP($B370,Seqs!$A:$B,2,0),AG370,1),"")</f>
        <v>C</v>
      </c>
      <c r="AG370" s="9">
        <v>170</v>
      </c>
      <c r="AH370" s="9" t="str">
        <f>IFERROR(MID(VLOOKUP($B370,Seqs!$A:$B,2,0),AI370,1),"")</f>
        <v>I</v>
      </c>
      <c r="AI370" s="9">
        <v>172</v>
      </c>
      <c r="AJ370" s="9" t="str">
        <f>IFERROR(MID(VLOOKUP($B370,Seqs!$A:$B,2,0),AK370,1),"")</f>
        <v>V</v>
      </c>
      <c r="AK370" s="9">
        <v>178</v>
      </c>
      <c r="AL370" s="9" t="str">
        <f>IFERROR(MID(VLOOKUP($B370,Seqs!$A:$B,2,0),AM370,1),"")</f>
        <v>L</v>
      </c>
      <c r="AM370" s="9">
        <v>223</v>
      </c>
      <c r="AN370" s="9" t="str">
        <f>IFERROR(MID(VLOOKUP($B370,Seqs!$A:$B,2,0),AO370,1),"")</f>
        <v>R</v>
      </c>
      <c r="AO370" s="9">
        <v>261</v>
      </c>
      <c r="AP370" s="9" t="str">
        <f>IFERROR(MID(VLOOKUP($B370,Seqs!$A:$B,2,0),AQ370,1),"")</f>
        <v>Y</v>
      </c>
      <c r="AQ370" s="9">
        <v>298</v>
      </c>
      <c r="AR370" s="9" t="str">
        <f>IFERROR(MID(VLOOKUP($B370,Seqs!$A:$B,2,0),AS370,1),"")</f>
        <v>N</v>
      </c>
      <c r="AS370" s="9">
        <v>309</v>
      </c>
      <c r="AT370" s="9" t="str">
        <f>IFERROR(MID(VLOOKUP($B370,Seqs!$A:$B,2,0),AU370,1),"")</f>
        <v>L</v>
      </c>
      <c r="AU370" s="9">
        <v>332</v>
      </c>
      <c r="AV370" s="9" t="str">
        <f>IFERROR(MID(VLOOKUP($B370,Seqs!$A:$B,2,0),AW370,1),"")</f>
        <v>R</v>
      </c>
      <c r="AW370" s="9">
        <v>333</v>
      </c>
      <c r="AX370" s="9" t="str">
        <f>IFERROR(MID(VLOOKUP($B370,Seqs!$A:$B,2,0),AY370,1),"")</f>
        <v>C</v>
      </c>
      <c r="AY370" s="9">
        <v>346</v>
      </c>
      <c r="AZ370" s="110" t="str">
        <f>VLOOKUP(B370,Classification!A:D,2,0)</f>
        <v>A</v>
      </c>
      <c r="BA370" s="98" t="str">
        <f>VLOOKUP(B370,Classification!A:D,4,0)</f>
        <v>Prostanoid</v>
      </c>
      <c r="BB370" s="36" t="b">
        <f t="shared" ref="BB370" si="3216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3217">_xlfn.AGGREGATE(9,6,CH370:CS370)-_xlfn.AGGREGATE(9,6,BV370:CG370)+12</f>
        <v>258</v>
      </c>
      <c r="BD370" s="40" t="s">
        <v>23</v>
      </c>
      <c r="BE370" s="9" t="s">
        <v>23</v>
      </c>
      <c r="BF370" s="119" t="s">
        <v>23</v>
      </c>
      <c r="BG370" s="51" t="s">
        <v>23</v>
      </c>
      <c r="BH370" s="51" t="s">
        <v>23</v>
      </c>
      <c r="BI370" s="12"/>
      <c r="BJ370" s="111" t="s">
        <v>1281</v>
      </c>
      <c r="BK370" s="112" t="s">
        <v>1281</v>
      </c>
      <c r="BL370" s="112" t="s">
        <v>1281</v>
      </c>
      <c r="BM370" s="112" t="s">
        <v>1281</v>
      </c>
      <c r="BN370" s="112" t="s">
        <v>1281</v>
      </c>
      <c r="BO370" s="112" t="s">
        <v>1281</v>
      </c>
      <c r="BP370" s="112" t="s">
        <v>1281</v>
      </c>
      <c r="BQ370" s="112" t="s">
        <v>1281</v>
      </c>
      <c r="BR370" s="112" t="s">
        <v>1281</v>
      </c>
      <c r="BS370" s="112" t="s">
        <v>1281</v>
      </c>
      <c r="BT370" s="112" t="s">
        <v>1281</v>
      </c>
      <c r="BU370" s="112" t="s">
        <v>1281</v>
      </c>
      <c r="BV370" s="111">
        <f t="shared" ref="BV370" si="3218">E370</f>
        <v>18</v>
      </c>
      <c r="BW370" s="113" t="str">
        <f t="shared" ref="BW370" si="3219">I370</f>
        <v>-</v>
      </c>
      <c r="BX370" s="114">
        <f t="shared" ref="BX370" si="3220">M370</f>
        <v>51</v>
      </c>
      <c r="BY370" s="113">
        <f t="shared" ref="BY370" si="3221">Q370</f>
        <v>84</v>
      </c>
      <c r="BZ370" s="114">
        <f t="shared" ref="BZ370" si="3222">U370</f>
        <v>88</v>
      </c>
      <c r="CA370" s="113">
        <f t="shared" ref="CA370" si="3223">Y370</f>
        <v>124</v>
      </c>
      <c r="CB370" s="114">
        <f t="shared" ref="CB370" si="3224">AC370</f>
        <v>132</v>
      </c>
      <c r="CC370" s="113">
        <f t="shared" ref="CC370" si="3225">AG370</f>
        <v>170</v>
      </c>
      <c r="CD370" s="114">
        <f t="shared" ref="CD370" si="3226">AK370</f>
        <v>178</v>
      </c>
      <c r="CE370" s="113">
        <f t="shared" ref="CE370" si="3227">AO370</f>
        <v>261</v>
      </c>
      <c r="CF370" s="114">
        <f t="shared" ref="CF370" si="3228">AS370</f>
        <v>309</v>
      </c>
      <c r="CG370" s="113">
        <f t="shared" ref="CG370" si="3229">AW370</f>
        <v>333</v>
      </c>
      <c r="CH370" s="111">
        <f t="shared" ref="CH370" si="3230">G370</f>
        <v>43</v>
      </c>
      <c r="CI370" s="113" t="str">
        <f t="shared" ref="CI370" si="3231">K370</f>
        <v>-</v>
      </c>
      <c r="CJ370" s="114">
        <f t="shared" ref="CJ370" si="3232">O370</f>
        <v>82</v>
      </c>
      <c r="CK370" s="114">
        <f t="shared" ref="CK370" si="3233">S370</f>
        <v>87</v>
      </c>
      <c r="CL370" s="114">
        <f t="shared" ref="CL370" si="3234">W370</f>
        <v>123</v>
      </c>
      <c r="CM370" s="114">
        <f t="shared" ref="CM370" si="3235">AA370</f>
        <v>131</v>
      </c>
      <c r="CN370" s="114">
        <f t="shared" ref="CN370" si="3236">AE370</f>
        <v>157</v>
      </c>
      <c r="CO370" s="114">
        <f t="shared" ref="CO370" si="3237">AI370</f>
        <v>172</v>
      </c>
      <c r="CP370" s="114">
        <f t="shared" ref="CP370" si="3238">AM370</f>
        <v>223</v>
      </c>
      <c r="CQ370" s="114">
        <f t="shared" ref="CQ370" si="3239">AQ370</f>
        <v>298</v>
      </c>
      <c r="CR370" s="114">
        <f t="shared" ref="CR370" si="3240">AU370</f>
        <v>332</v>
      </c>
      <c r="CS370" s="114">
        <f t="shared" ref="CS370" si="3241">AY370</f>
        <v>346</v>
      </c>
      <c r="CT370" s="109" t="e">
        <f t="shared" ref="CT370" si="3242">M370-K370</f>
        <v>#VALUE!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9" t="str">
        <f>CONCATENATE(B371,"_",C371)</f>
        <v>pe2r4_human_5YWY</v>
      </c>
      <c r="B371" s="9" t="s">
        <v>363</v>
      </c>
      <c r="C371" s="9" t="s">
        <v>1530</v>
      </c>
      <c r="D371" s="9" t="str">
        <f>IFERROR(MID(VLOOKUP($B371,Seqs!$A:$B,2,0),E371,1),"")</f>
        <v>N</v>
      </c>
      <c r="E371" s="9">
        <v>18</v>
      </c>
      <c r="F371" s="9" t="str">
        <f>IFERROR(MID(VLOOKUP($B371,Seqs!$A:$B,2,0),G371,1),"")</f>
        <v>C</v>
      </c>
      <c r="G371" s="9">
        <v>43</v>
      </c>
      <c r="H371" s="9" t="str">
        <f>IFERROR(MID(VLOOKUP($B371,Seqs!$A:$B,2,0),I371,1),"")</f>
        <v/>
      </c>
      <c r="I371" s="109" t="s">
        <v>23</v>
      </c>
      <c r="J371" s="9" t="str">
        <f>IFERROR(MID(VLOOKUP($B371,Seqs!$A:$B,2,0),K371,1),"")</f>
        <v/>
      </c>
      <c r="K371" s="109" t="s">
        <v>23</v>
      </c>
      <c r="L371" s="9" t="str">
        <f>IFERROR(MID(VLOOKUP($B371,Seqs!$A:$B,2,0),M371,1),"")</f>
        <v>E</v>
      </c>
      <c r="M371" s="9">
        <v>51</v>
      </c>
      <c r="N371" s="9" t="str">
        <f>IFERROR(MID(VLOOKUP($B371,Seqs!$A:$B,2,0),O371,1),"")</f>
        <v>K</v>
      </c>
      <c r="O371" s="9">
        <v>82</v>
      </c>
      <c r="P371" s="9" t="str">
        <f>IFERROR(MID(VLOOKUP($B371,Seqs!$A:$B,2,0),Q371,1),"")</f>
        <v>Q</v>
      </c>
      <c r="Q371" s="9">
        <v>84</v>
      </c>
      <c r="R371" s="9" t="str">
        <f>IFERROR(MID(VLOOKUP($B371,Seqs!$A:$B,2,0),S371,1),"")</f>
        <v>G</v>
      </c>
      <c r="S371" s="9">
        <v>87</v>
      </c>
      <c r="T371" s="9" t="str">
        <f>IFERROR(MID(VLOOKUP($B371,Seqs!$A:$B,2,0),U371,1),"")</f>
        <v>G</v>
      </c>
      <c r="U371" s="9">
        <v>88</v>
      </c>
      <c r="V371" s="9" t="str">
        <f>IFERROR(MID(VLOOKUP($B371,Seqs!$A:$B,2,0),W371,1),"")</f>
        <v>H</v>
      </c>
      <c r="W371" s="9">
        <v>123</v>
      </c>
      <c r="X371" s="9" t="str">
        <f>IFERROR(MID(VLOOKUP($B371,Seqs!$A:$B,2,0),Y371,1),"")</f>
        <v>A</v>
      </c>
      <c r="Y371" s="9">
        <v>124</v>
      </c>
      <c r="Z371" s="9" t="str">
        <f>IFERROR(MID(VLOOKUP($B371,Seqs!$A:$B,2,0),AA371,1),"")</f>
        <v>V</v>
      </c>
      <c r="AA371" s="9">
        <v>131</v>
      </c>
      <c r="AB371" s="9" t="str">
        <f>IFERROR(MID(VLOOKUP($B371,Seqs!$A:$B,2,0),AC371,1),"")</f>
        <v>D</v>
      </c>
      <c r="AC371" s="9">
        <v>132</v>
      </c>
      <c r="AD371" s="9" t="str">
        <f>IFERROR(MID(VLOOKUP($B371,Seqs!$A:$B,2,0),AE371,1),"")</f>
        <v>G</v>
      </c>
      <c r="AE371" s="9">
        <v>157</v>
      </c>
      <c r="AF371" s="9" t="str">
        <f>IFERROR(MID(VLOOKUP($B371,Seqs!$A:$B,2,0),AG371,1),"")</f>
        <v>C</v>
      </c>
      <c r="AG371" s="9">
        <v>170</v>
      </c>
      <c r="AH371" s="9" t="str">
        <f>IFERROR(MID(VLOOKUP($B371,Seqs!$A:$B,2,0),AI371,1),"")</f>
        <v>I</v>
      </c>
      <c r="AI371" s="9">
        <v>172</v>
      </c>
      <c r="AJ371" s="9" t="str">
        <f>IFERROR(MID(VLOOKUP($B371,Seqs!$A:$B,2,0),AK371,1),"")</f>
        <v>V</v>
      </c>
      <c r="AK371" s="9">
        <v>178</v>
      </c>
      <c r="AL371" s="9" t="str">
        <f>IFERROR(MID(VLOOKUP($B371,Seqs!$A:$B,2,0),AM371,1),"")</f>
        <v>H</v>
      </c>
      <c r="AM371" s="9">
        <v>214</v>
      </c>
      <c r="AN371" s="9" t="str">
        <f>IFERROR(MID(VLOOKUP($B371,Seqs!$A:$B,2,0),AO371,1),"")</f>
        <v>A</v>
      </c>
      <c r="AO371" s="9">
        <v>266</v>
      </c>
      <c r="AP371" s="9" t="str">
        <f>IFERROR(MID(VLOOKUP($B371,Seqs!$A:$B,2,0),AQ371,1),"")</f>
        <v>Y</v>
      </c>
      <c r="AQ371" s="9">
        <v>298</v>
      </c>
      <c r="AR371" s="9" t="str">
        <f>IFERROR(MID(VLOOKUP($B371,Seqs!$A:$B,2,0),AS371,1),"")</f>
        <v>N</v>
      </c>
      <c r="AS371" s="9">
        <v>309</v>
      </c>
      <c r="AT371" s="9" t="str">
        <f>IFERROR(MID(VLOOKUP($B371,Seqs!$A:$B,2,0),AU371,1),"")</f>
        <v>L</v>
      </c>
      <c r="AU371" s="9">
        <v>332</v>
      </c>
      <c r="AV371" s="9" t="str">
        <f>IFERROR(MID(VLOOKUP($B371,Seqs!$A:$B,2,0),AW371,1),"")</f>
        <v>R</v>
      </c>
      <c r="AW371" s="9">
        <v>333</v>
      </c>
      <c r="AX371" s="9" t="str">
        <f>IFERROR(MID(VLOOKUP($B371,Seqs!$A:$B,2,0),AY371,1),"")</f>
        <v>I</v>
      </c>
      <c r="AY371" s="9">
        <v>344</v>
      </c>
      <c r="AZ371" s="110" t="str">
        <f>VLOOKUP(B371,Classification!A:D,2,0)</f>
        <v>A</v>
      </c>
      <c r="BA371" s="98" t="str">
        <f>VLOOKUP(B371,Classification!A:D,4,0)</f>
        <v>Prostanoid</v>
      </c>
      <c r="BB371" s="36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>_xlfn.AGGREGATE(9,6,CH371:CS371)-_xlfn.AGGREGATE(9,6,BV371:CG371)+12</f>
        <v>242</v>
      </c>
      <c r="BD371" s="40" t="s">
        <v>1370</v>
      </c>
      <c r="BE371" s="9" t="s">
        <v>1368</v>
      </c>
      <c r="BF371" s="119">
        <v>3.2</v>
      </c>
      <c r="BG371" s="51" t="s">
        <v>1</v>
      </c>
      <c r="BH371" s="51" t="s">
        <v>1</v>
      </c>
      <c r="BI371" s="12"/>
      <c r="BJ371" s="111" t="s">
        <v>1281</v>
      </c>
      <c r="BK371" s="112" t="s">
        <v>1281</v>
      </c>
      <c r="BL371" s="112" t="s">
        <v>1281</v>
      </c>
      <c r="BM371" s="112" t="s">
        <v>1281</v>
      </c>
      <c r="BN371" s="112" t="s">
        <v>1281</v>
      </c>
      <c r="BO371" s="112" t="s">
        <v>1281</v>
      </c>
      <c r="BP371" s="112" t="s">
        <v>1281</v>
      </c>
      <c r="BQ371" s="112" t="s">
        <v>1281</v>
      </c>
      <c r="BR371" s="112" t="s">
        <v>1281</v>
      </c>
      <c r="BS371" s="112" t="s">
        <v>1281</v>
      </c>
      <c r="BT371" s="112" t="s">
        <v>1281</v>
      </c>
      <c r="BU371" s="112" t="s">
        <v>1281</v>
      </c>
      <c r="BV371" s="111">
        <f>E371</f>
        <v>18</v>
      </c>
      <c r="BW371" s="113" t="str">
        <f>I371</f>
        <v>-</v>
      </c>
      <c r="BX371" s="114">
        <f>M371</f>
        <v>51</v>
      </c>
      <c r="BY371" s="113">
        <f>Q371</f>
        <v>84</v>
      </c>
      <c r="BZ371" s="114">
        <f>U371</f>
        <v>88</v>
      </c>
      <c r="CA371" s="113">
        <f>Y371</f>
        <v>124</v>
      </c>
      <c r="CB371" s="114">
        <f>AC371</f>
        <v>132</v>
      </c>
      <c r="CC371" s="113">
        <f>AG371</f>
        <v>170</v>
      </c>
      <c r="CD371" s="114">
        <f>AK371</f>
        <v>178</v>
      </c>
      <c r="CE371" s="113">
        <f>AO371</f>
        <v>266</v>
      </c>
      <c r="CF371" s="114">
        <f>AS371</f>
        <v>309</v>
      </c>
      <c r="CG371" s="113">
        <f>AW371</f>
        <v>333</v>
      </c>
      <c r="CH371" s="111">
        <f>G371</f>
        <v>43</v>
      </c>
      <c r="CI371" s="113" t="str">
        <f>K371</f>
        <v>-</v>
      </c>
      <c r="CJ371" s="114">
        <f>O371</f>
        <v>82</v>
      </c>
      <c r="CK371" s="114">
        <f>S371</f>
        <v>87</v>
      </c>
      <c r="CL371" s="114">
        <f>W371</f>
        <v>123</v>
      </c>
      <c r="CM371" s="114">
        <f>AA371</f>
        <v>131</v>
      </c>
      <c r="CN371" s="114">
        <f>AE371</f>
        <v>157</v>
      </c>
      <c r="CO371" s="114">
        <f>AI371</f>
        <v>172</v>
      </c>
      <c r="CP371" s="114">
        <f>AM371</f>
        <v>214</v>
      </c>
      <c r="CQ371" s="114">
        <f>AQ371</f>
        <v>298</v>
      </c>
      <c r="CR371" s="114">
        <f>AU371</f>
        <v>332</v>
      </c>
      <c r="CS371" s="114">
        <f>AY371</f>
        <v>344</v>
      </c>
      <c r="CT371" s="109" t="e">
        <f>M371-K371</f>
        <v>#VALUE!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9" t="str">
        <f>CONCATENATE(B372,"_",C372)</f>
        <v>pe2r4_human_5YHL</v>
      </c>
      <c r="B372" s="9" t="s">
        <v>363</v>
      </c>
      <c r="C372" s="9" t="s">
        <v>1531</v>
      </c>
      <c r="D372" s="9" t="str">
        <f>IFERROR(MID(VLOOKUP($B372,Seqs!$A:$B,2,0),E372,1),"")</f>
        <v>N</v>
      </c>
      <c r="E372" s="9">
        <v>18</v>
      </c>
      <c r="F372" s="9" t="str">
        <f>IFERROR(MID(VLOOKUP($B372,Seqs!$A:$B,2,0),G372,1),"")</f>
        <v>C</v>
      </c>
      <c r="G372" s="9">
        <v>43</v>
      </c>
      <c r="H372" s="9" t="str">
        <f>IFERROR(MID(VLOOKUP($B372,Seqs!$A:$B,2,0),I372,1),"")</f>
        <v/>
      </c>
      <c r="I372" s="109" t="s">
        <v>23</v>
      </c>
      <c r="J372" s="9" t="str">
        <f>IFERROR(MID(VLOOKUP($B372,Seqs!$A:$B,2,0),K372,1),"")</f>
        <v/>
      </c>
      <c r="K372" s="109" t="s">
        <v>23</v>
      </c>
      <c r="L372" s="9" t="str">
        <f>IFERROR(MID(VLOOKUP($B372,Seqs!$A:$B,2,0),M372,1),"")</f>
        <v>E</v>
      </c>
      <c r="M372" s="9">
        <v>51</v>
      </c>
      <c r="N372" s="9" t="str">
        <f>IFERROR(MID(VLOOKUP($B372,Seqs!$A:$B,2,0),O372,1),"")</f>
        <v>K</v>
      </c>
      <c r="O372" s="9">
        <v>82</v>
      </c>
      <c r="P372" s="9" t="str">
        <f>IFERROR(MID(VLOOKUP($B372,Seqs!$A:$B,2,0),Q372,1),"")</f>
        <v>Q</v>
      </c>
      <c r="Q372" s="9">
        <v>84</v>
      </c>
      <c r="R372" s="9" t="str">
        <f>IFERROR(MID(VLOOKUP($B372,Seqs!$A:$B,2,0),S372,1),"")</f>
        <v>G</v>
      </c>
      <c r="S372" s="9">
        <v>87</v>
      </c>
      <c r="T372" s="9" t="str">
        <f>IFERROR(MID(VLOOKUP($B372,Seqs!$A:$B,2,0),U372,1),"")</f>
        <v>G</v>
      </c>
      <c r="U372" s="9">
        <v>88</v>
      </c>
      <c r="V372" s="9" t="str">
        <f>IFERROR(MID(VLOOKUP($B372,Seqs!$A:$B,2,0),W372,1),"")</f>
        <v>H</v>
      </c>
      <c r="W372" s="9">
        <v>123</v>
      </c>
      <c r="X372" s="9" t="str">
        <f>IFERROR(MID(VLOOKUP($B372,Seqs!$A:$B,2,0),Y372,1),"")</f>
        <v>A</v>
      </c>
      <c r="Y372" s="9">
        <v>124</v>
      </c>
      <c r="Z372" s="9" t="str">
        <f>IFERROR(MID(VLOOKUP($B372,Seqs!$A:$B,2,0),AA372,1),"")</f>
        <v>V</v>
      </c>
      <c r="AA372" s="9">
        <v>131</v>
      </c>
      <c r="AB372" s="9" t="str">
        <f>IFERROR(MID(VLOOKUP($B372,Seqs!$A:$B,2,0),AC372,1),"")</f>
        <v>D</v>
      </c>
      <c r="AC372" s="9">
        <v>132</v>
      </c>
      <c r="AD372" s="9" t="str">
        <f>IFERROR(MID(VLOOKUP($B372,Seqs!$A:$B,2,0),AE372,1),"")</f>
        <v>G</v>
      </c>
      <c r="AE372" s="9">
        <v>157</v>
      </c>
      <c r="AF372" s="9" t="str">
        <f>IFERROR(MID(VLOOKUP($B372,Seqs!$A:$B,2,0),AG372,1),"")</f>
        <v>C</v>
      </c>
      <c r="AG372" s="9">
        <v>170</v>
      </c>
      <c r="AH372" s="9" t="str">
        <f>IFERROR(MID(VLOOKUP($B372,Seqs!$A:$B,2,0),AI372,1),"")</f>
        <v>I</v>
      </c>
      <c r="AI372" s="9">
        <v>172</v>
      </c>
      <c r="AJ372" s="9" t="str">
        <f>IFERROR(MID(VLOOKUP($B372,Seqs!$A:$B,2,0),AK372,1),"")</f>
        <v>V</v>
      </c>
      <c r="AK372" s="9">
        <v>178</v>
      </c>
      <c r="AL372" s="9" t="str">
        <f>IFERROR(MID(VLOOKUP($B372,Seqs!$A:$B,2,0),AM372,1),"")</f>
        <v>H</v>
      </c>
      <c r="AM372" s="9">
        <v>214</v>
      </c>
      <c r="AN372" s="9" t="str">
        <f>IFERROR(MID(VLOOKUP($B372,Seqs!$A:$B,2,0),AO372,1),"")</f>
        <v>A</v>
      </c>
      <c r="AO372" s="9">
        <v>266</v>
      </c>
      <c r="AP372" s="9" t="str">
        <f>IFERROR(MID(VLOOKUP($B372,Seqs!$A:$B,2,0),AQ372,1),"")</f>
        <v>Y</v>
      </c>
      <c r="AQ372" s="9">
        <v>298</v>
      </c>
      <c r="AR372" s="9" t="str">
        <f>IFERROR(MID(VLOOKUP($B372,Seqs!$A:$B,2,0),AS372,1),"")</f>
        <v>N</v>
      </c>
      <c r="AS372" s="9">
        <v>309</v>
      </c>
      <c r="AT372" s="9" t="str">
        <f>IFERROR(MID(VLOOKUP($B372,Seqs!$A:$B,2,0),AU372,1),"")</f>
        <v>L</v>
      </c>
      <c r="AU372" s="9">
        <v>332</v>
      </c>
      <c r="AV372" s="9" t="str">
        <f>IFERROR(MID(VLOOKUP($B372,Seqs!$A:$B,2,0),AW372,1),"")</f>
        <v>R</v>
      </c>
      <c r="AW372" s="9">
        <v>333</v>
      </c>
      <c r="AX372" s="9" t="str">
        <f>IFERROR(MID(VLOOKUP($B372,Seqs!$A:$B,2,0),AY372,1),"")</f>
        <v>I</v>
      </c>
      <c r="AY372" s="9">
        <v>344</v>
      </c>
      <c r="AZ372" s="110" t="str">
        <f>VLOOKUP(B372,Classification!A:D,2,0)</f>
        <v>A</v>
      </c>
      <c r="BA372" s="98" t="str">
        <f>VLOOKUP(B372,Classification!A:D,4,0)</f>
        <v>Prostanoid</v>
      </c>
      <c r="BB372" s="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242</v>
      </c>
      <c r="BD372" s="40" t="s">
        <v>23</v>
      </c>
      <c r="BE372" s="9" t="s">
        <v>1368</v>
      </c>
      <c r="BF372" s="119">
        <v>4.2</v>
      </c>
      <c r="BG372" s="51" t="s">
        <v>1</v>
      </c>
      <c r="BH372" s="51" t="s">
        <v>1</v>
      </c>
      <c r="BI372" s="12"/>
      <c r="BJ372" s="111" t="s">
        <v>1281</v>
      </c>
      <c r="BK372" s="112" t="s">
        <v>1281</v>
      </c>
      <c r="BL372" s="112" t="s">
        <v>1281</v>
      </c>
      <c r="BM372" s="112" t="s">
        <v>1281</v>
      </c>
      <c r="BN372" s="112" t="s">
        <v>1281</v>
      </c>
      <c r="BO372" s="112" t="s">
        <v>1281</v>
      </c>
      <c r="BP372" s="112" t="s">
        <v>1281</v>
      </c>
      <c r="BQ372" s="112" t="s">
        <v>1281</v>
      </c>
      <c r="BR372" s="112" t="s">
        <v>1281</v>
      </c>
      <c r="BS372" s="112" t="s">
        <v>1281</v>
      </c>
      <c r="BT372" s="112" t="s">
        <v>1281</v>
      </c>
      <c r="BU372" s="112" t="s">
        <v>1281</v>
      </c>
      <c r="BV372" s="111">
        <f>E372</f>
        <v>18</v>
      </c>
      <c r="BW372" s="113" t="str">
        <f>I372</f>
        <v>-</v>
      </c>
      <c r="BX372" s="114">
        <f>M372</f>
        <v>51</v>
      </c>
      <c r="BY372" s="113">
        <f>Q372</f>
        <v>84</v>
      </c>
      <c r="BZ372" s="114">
        <f>U372</f>
        <v>88</v>
      </c>
      <c r="CA372" s="113">
        <f>Y372</f>
        <v>124</v>
      </c>
      <c r="CB372" s="114">
        <f>AC372</f>
        <v>132</v>
      </c>
      <c r="CC372" s="113">
        <f>AG372</f>
        <v>170</v>
      </c>
      <c r="CD372" s="114">
        <f>AK372</f>
        <v>178</v>
      </c>
      <c r="CE372" s="113">
        <f>AO372</f>
        <v>266</v>
      </c>
      <c r="CF372" s="114">
        <f>AS372</f>
        <v>309</v>
      </c>
      <c r="CG372" s="113">
        <f>AW372</f>
        <v>333</v>
      </c>
      <c r="CH372" s="111">
        <f>G372</f>
        <v>43</v>
      </c>
      <c r="CI372" s="113" t="str">
        <f>K372</f>
        <v>-</v>
      </c>
      <c r="CJ372" s="114">
        <f>O372</f>
        <v>82</v>
      </c>
      <c r="CK372" s="114">
        <f>S372</f>
        <v>87</v>
      </c>
      <c r="CL372" s="114">
        <f>W372</f>
        <v>123</v>
      </c>
      <c r="CM372" s="114">
        <f>AA372</f>
        <v>131</v>
      </c>
      <c r="CN372" s="114">
        <f>AE372</f>
        <v>157</v>
      </c>
      <c r="CO372" s="114">
        <f>AI372</f>
        <v>172</v>
      </c>
      <c r="CP372" s="114">
        <f>AM372</f>
        <v>214</v>
      </c>
      <c r="CQ372" s="114">
        <f>AQ372</f>
        <v>298</v>
      </c>
      <c r="CR372" s="114">
        <f>AU372</f>
        <v>332</v>
      </c>
      <c r="CS372" s="114">
        <f>AY372</f>
        <v>344</v>
      </c>
      <c r="CT372" s="109" t="e">
        <f>M372-K372</f>
        <v>#VALUE!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>CONCATENATE(B373,"_",C373)</f>
        <v>ptafr_human__wt</v>
      </c>
      <c r="B373" s="3" t="s">
        <v>370</v>
      </c>
      <c r="C373" s="3" t="s">
        <v>100</v>
      </c>
      <c r="D373" s="3" t="str">
        <f>IFERROR(MID(VLOOKUP($B373,Seqs!$A:$B,2,0),E373,1),"")</f>
        <v>D</v>
      </c>
      <c r="E373" s="3">
        <v>10</v>
      </c>
      <c r="F373" s="3" t="str">
        <f>IFERROR(MID(VLOOKUP($B373,Seqs!$A:$B,2,0),G373,1),"")</f>
        <v>Y</v>
      </c>
      <c r="G373" s="3">
        <v>44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F</v>
      </c>
      <c r="M373" s="3">
        <v>49</v>
      </c>
      <c r="N373" s="3" t="str">
        <f>IFERROR(MID(VLOOKUP($B373,Seqs!$A:$B,2,0),O373,1),"")</f>
        <v>Q</v>
      </c>
      <c r="O373" s="3">
        <v>80</v>
      </c>
      <c r="P373" s="3" t="str">
        <f>IFERROR(MID(VLOOKUP($B373,Seqs!$A:$B,2,0),Q373,1),"")</f>
        <v>N</v>
      </c>
      <c r="Q373" s="3">
        <v>82</v>
      </c>
      <c r="R373" s="3" t="str">
        <f>IFERROR(MID(VLOOKUP($B373,Seqs!$A:$B,2,0),S373,1),"")</f>
        <v>L</v>
      </c>
      <c r="S373" s="3">
        <v>85</v>
      </c>
      <c r="T373" s="3" t="str">
        <f>IFERROR(MID(VLOOKUP($B373,Seqs!$A:$B,2,0),U373,1),"")</f>
        <v>P</v>
      </c>
      <c r="U373" s="3">
        <v>86</v>
      </c>
      <c r="V373" s="3" t="str">
        <f>IFERROR(MID(VLOOKUP($B373,Seqs!$A:$B,2,0),W373,1),"")</f>
        <v>R</v>
      </c>
      <c r="W373" s="3">
        <v>121</v>
      </c>
      <c r="X373" s="3" t="str">
        <f>IFERROR(MID(VLOOKUP($B373,Seqs!$A:$B,2,0),Y373,1),"")</f>
        <v>P</v>
      </c>
      <c r="Y373" s="3">
        <v>122</v>
      </c>
      <c r="Z373" s="3" t="str">
        <f>IFERROR(MID(VLOOKUP($B373,Seqs!$A:$B,2,0),AA373,1),"")</f>
        <v>N</v>
      </c>
      <c r="AA373" s="3">
        <v>129</v>
      </c>
      <c r="AB373" s="3" t="str">
        <f>IFERROR(MID(VLOOKUP($B373,Seqs!$A:$B,2,0),AC373,1),"")</f>
        <v>T</v>
      </c>
      <c r="AC373" s="3">
        <v>130</v>
      </c>
      <c r="AD373" s="3" t="str">
        <f>IFERROR(MID(VLOOKUP($B373,Seqs!$A:$B,2,0),AE373,1),"")</f>
        <v>L</v>
      </c>
      <c r="AE373" s="3">
        <v>155</v>
      </c>
      <c r="AF373" s="3" t="str">
        <f>IFERROR(MID(VLOOKUP($B373,Seqs!$A:$B,2,0),AG373,1),"")</f>
        <v>C</v>
      </c>
      <c r="AG373" s="3">
        <v>173</v>
      </c>
      <c r="AH373" s="3" t="str">
        <f>IFERROR(MID(VLOOKUP($B373,Seqs!$A:$B,2,0),AI373,1),"")</f>
        <v>E</v>
      </c>
      <c r="AI373" s="3">
        <v>175</v>
      </c>
      <c r="AJ373" s="3" t="str">
        <f>IFERROR(MID(VLOOKUP($B373,Seqs!$A:$B,2,0),AK373,1),"")</f>
        <v>S</v>
      </c>
      <c r="AK373" s="3">
        <v>181</v>
      </c>
      <c r="AL373" s="3" t="str">
        <f>IFERROR(MID(VLOOKUP($B373,Seqs!$A:$B,2,0),AM373,1),"")</f>
        <v>Q</v>
      </c>
      <c r="AM373" s="3">
        <v>216</v>
      </c>
      <c r="AN373" s="3" t="str">
        <f>IFERROR(MID(VLOOKUP($B373,Seqs!$A:$B,2,0),AO373,1),"")</f>
        <v>Q</v>
      </c>
      <c r="AO373" s="3">
        <v>221</v>
      </c>
      <c r="AP373" s="3" t="str">
        <f>IFERROR(MID(VLOOKUP($B373,Seqs!$A:$B,2,0),AQ373,1),"")</f>
        <v>G</v>
      </c>
      <c r="AQ373" s="3">
        <v>261</v>
      </c>
      <c r="AR373" s="3" t="str">
        <f>IFERROR(MID(VLOOKUP($B373,Seqs!$A:$B,2,0),AS373,1),"")</f>
        <v>D</v>
      </c>
      <c r="AS373" s="3">
        <v>264</v>
      </c>
      <c r="AT373" s="3" t="str">
        <f>IFERROR(MID(VLOOKUP($B373,Seqs!$A:$B,2,0),AU373,1),"")</f>
        <v>K</v>
      </c>
      <c r="AU373" s="3">
        <v>299</v>
      </c>
      <c r="AV373" s="3" t="str">
        <f>IFERROR(MID(VLOOKUP($B373,Seqs!$A:$B,2,0),AW373,1),"")</f>
        <v>F</v>
      </c>
      <c r="AW373" s="3">
        <v>300</v>
      </c>
      <c r="AX373" s="3" t="str">
        <f>IFERROR(MID(VLOOKUP($B373,Seqs!$A:$B,2,0),AY373,1),"")</f>
        <v>S</v>
      </c>
      <c r="AY373" s="3">
        <v>313</v>
      </c>
      <c r="AZ373" s="77" t="str">
        <f>VLOOKUP(B373,Classification!A:D,2,0)</f>
        <v>A</v>
      </c>
      <c r="BA373" s="94" t="str">
        <f>VLOOKUP(B373,Classification!A:D,4,0)</f>
        <v>Platelet-activatingfactor</v>
      </c>
      <c r="BB373" s="27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272</v>
      </c>
      <c r="BD373" s="2" t="s">
        <v>23</v>
      </c>
      <c r="BE373" s="3" t="s">
        <v>23</v>
      </c>
      <c r="BF373" s="118" t="s">
        <v>23</v>
      </c>
      <c r="BG373" s="49" t="s">
        <v>1371</v>
      </c>
      <c r="BH373" s="49" t="s">
        <v>1371</v>
      </c>
      <c r="BI373" s="1"/>
      <c r="BJ373" s="70" t="s">
        <v>1281</v>
      </c>
      <c r="BK373" s="57" t="s">
        <v>1281</v>
      </c>
      <c r="BL373" s="57" t="s">
        <v>1281</v>
      </c>
      <c r="BM373" s="57" t="s">
        <v>1281</v>
      </c>
      <c r="BN373" s="57" t="s">
        <v>1281</v>
      </c>
      <c r="BO373" s="57" t="s">
        <v>1281</v>
      </c>
      <c r="BP373" s="57" t="s">
        <v>1281</v>
      </c>
      <c r="BQ373" s="57" t="s">
        <v>1281</v>
      </c>
      <c r="BR373" s="57" t="s">
        <v>1281</v>
      </c>
      <c r="BS373" s="57" t="s">
        <v>1281</v>
      </c>
      <c r="BT373" s="57" t="s">
        <v>1281</v>
      </c>
      <c r="BU373" s="57" t="s">
        <v>1281</v>
      </c>
      <c r="BV373" s="70">
        <f>E373</f>
        <v>10</v>
      </c>
      <c r="BW373" s="71" t="str">
        <f>I373</f>
        <v>-</v>
      </c>
      <c r="BX373" s="72">
        <f>M373</f>
        <v>49</v>
      </c>
      <c r="BY373" s="71">
        <f>Q373</f>
        <v>82</v>
      </c>
      <c r="BZ373" s="72">
        <f>U373</f>
        <v>86</v>
      </c>
      <c r="CA373" s="71">
        <f>Y373</f>
        <v>122</v>
      </c>
      <c r="CB373" s="72">
        <f>AC373</f>
        <v>130</v>
      </c>
      <c r="CC373" s="71">
        <f>AG373</f>
        <v>173</v>
      </c>
      <c r="CD373" s="72">
        <f>AK373</f>
        <v>181</v>
      </c>
      <c r="CE373" s="71">
        <f>AO373</f>
        <v>221</v>
      </c>
      <c r="CF373" s="72">
        <f>AS373</f>
        <v>264</v>
      </c>
      <c r="CG373" s="71">
        <f>AW373</f>
        <v>300</v>
      </c>
      <c r="CH373" s="70">
        <f>G373</f>
        <v>44</v>
      </c>
      <c r="CI373" s="71" t="str">
        <f>K373</f>
        <v>-</v>
      </c>
      <c r="CJ373" s="72">
        <f>O373</f>
        <v>80</v>
      </c>
      <c r="CK373" s="72">
        <f>S373</f>
        <v>85</v>
      </c>
      <c r="CL373" s="72">
        <f>W373</f>
        <v>121</v>
      </c>
      <c r="CM373" s="72">
        <f>AA373</f>
        <v>129</v>
      </c>
      <c r="CN373" s="72">
        <f>AE373</f>
        <v>155</v>
      </c>
      <c r="CO373" s="72">
        <f>AI373</f>
        <v>175</v>
      </c>
      <c r="CP373" s="72">
        <f>AM373</f>
        <v>216</v>
      </c>
      <c r="CQ373" s="72">
        <f>AQ373</f>
        <v>261</v>
      </c>
      <c r="CR373" s="72">
        <f>AU373</f>
        <v>299</v>
      </c>
      <c r="CS373" s="72">
        <f>AY373</f>
        <v>313</v>
      </c>
      <c r="CT373" s="23" t="e">
        <f>M373-K373</f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>CONCATENATE(B374,"_",C374)</f>
        <v>ptafr_human_5ZKP</v>
      </c>
      <c r="B374" s="3" t="s">
        <v>370</v>
      </c>
      <c r="C374" s="3" t="s">
        <v>1499</v>
      </c>
      <c r="D374" s="3" t="str">
        <f>IFERROR(MID(VLOOKUP($B374,Seqs!$A:$B,2,0),E374,1),"")</f>
        <v>S</v>
      </c>
      <c r="E374" s="3">
        <v>11</v>
      </c>
      <c r="F374" s="3" t="str">
        <f>IFERROR(MID(VLOOKUP($B374,Seqs!$A:$B,2,0),G374,1),"")</f>
        <v>Y</v>
      </c>
      <c r="G374" s="3">
        <v>44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F</v>
      </c>
      <c r="M374" s="3">
        <v>49</v>
      </c>
      <c r="N374" s="3" t="str">
        <f>IFERROR(MID(VLOOKUP($B374,Seqs!$A:$B,2,0),O374,1),"")</f>
        <v>Q</v>
      </c>
      <c r="O374" s="3">
        <v>80</v>
      </c>
      <c r="P374" s="3" t="str">
        <f>IFERROR(MID(VLOOKUP($B374,Seqs!$A:$B,2,0),Q374,1),"")</f>
        <v>N</v>
      </c>
      <c r="Q374" s="3">
        <v>82</v>
      </c>
      <c r="R374" s="3" t="str">
        <f>IFERROR(MID(VLOOKUP($B374,Seqs!$A:$B,2,0),S374,1),"")</f>
        <v>L</v>
      </c>
      <c r="S374" s="3">
        <v>85</v>
      </c>
      <c r="T374" s="3" t="str">
        <f>IFERROR(MID(VLOOKUP($B374,Seqs!$A:$B,2,0),U374,1),"")</f>
        <v>P</v>
      </c>
      <c r="U374" s="3">
        <v>86</v>
      </c>
      <c r="V374" s="3" t="str">
        <f>IFERROR(MID(VLOOKUP($B374,Seqs!$A:$B,2,0),W374,1),"")</f>
        <v>T</v>
      </c>
      <c r="W374" s="3">
        <v>120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I</v>
      </c>
      <c r="AC374" s="3">
        <v>141</v>
      </c>
      <c r="AD374" s="3" t="str">
        <f>IFERROR(MID(VLOOKUP($B374,Seqs!$A:$B,2,0),AE374,1),"")</f>
        <v>L</v>
      </c>
      <c r="AE374" s="3">
        <v>155</v>
      </c>
      <c r="AF374" s="3" t="str">
        <f>IFERROR(MID(VLOOKUP($B374,Seqs!$A:$B,2,0),AG374,1),"")</f>
        <v>C</v>
      </c>
      <c r="AG374" s="3">
        <v>173</v>
      </c>
      <c r="AH374" s="3" t="str">
        <f>IFERROR(MID(VLOOKUP($B374,Seqs!$A:$B,2,0),AI374,1),"")</f>
        <v>E</v>
      </c>
      <c r="AI374" s="3">
        <v>175</v>
      </c>
      <c r="AJ374" s="3" t="str">
        <f>IFERROR(MID(VLOOKUP($B374,Seqs!$A:$B,2,0),AK374,1),"")</f>
        <v>P</v>
      </c>
      <c r="AK374" s="3">
        <v>183</v>
      </c>
      <c r="AL374" s="3" t="str">
        <f>IFERROR(MID(VLOOKUP($B374,Seqs!$A:$B,2,0),AM374,1),"")</f>
        <v>L</v>
      </c>
      <c r="AM374" s="3">
        <v>214</v>
      </c>
      <c r="AN374" s="3" t="str">
        <f>IFERROR(MID(VLOOKUP($B374,Seqs!$A:$B,2,0),AO374,1),"")</f>
        <v>A</v>
      </c>
      <c r="AO374" s="3">
        <v>224</v>
      </c>
      <c r="AP374" s="3" t="str">
        <f>IFERROR(MID(VLOOKUP($B374,Seqs!$A:$B,2,0),AQ374,1),"")</f>
        <v>G</v>
      </c>
      <c r="AQ374" s="3">
        <v>261</v>
      </c>
      <c r="AR374" s="3" t="str">
        <f>IFERROR(MID(VLOOKUP($B374,Seqs!$A:$B,2,0),AS374,1),"")</f>
        <v>D</v>
      </c>
      <c r="AS374" s="3">
        <v>264</v>
      </c>
      <c r="AT374" s="3" t="str">
        <f>IFERROR(MID(VLOOKUP($B374,Seqs!$A:$B,2,0),AU374,1),"")</f>
        <v>K</v>
      </c>
      <c r="AU374" s="3">
        <v>299</v>
      </c>
      <c r="AV374" s="3" t="str">
        <f>IFERROR(MID(VLOOKUP($B374,Seqs!$A:$B,2,0),AW374,1),"")</f>
        <v>F</v>
      </c>
      <c r="AW374" s="3">
        <v>300</v>
      </c>
      <c r="AX374" s="3" t="str">
        <f>IFERROR(MID(VLOOKUP($B374,Seqs!$A:$B,2,0),AY374,1),"")</f>
        <v>S</v>
      </c>
      <c r="AY374" s="3">
        <v>313</v>
      </c>
      <c r="AZ374" s="77" t="str">
        <f>VLOOKUP(B374,Classification!A:D,2,0)</f>
        <v>A</v>
      </c>
      <c r="BA374" s="94" t="str">
        <f>VLOOKUP(B374,Classification!A:D,4,0)</f>
        <v>Platelet-activatingfactor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245</v>
      </c>
      <c r="BD374" s="2" t="s">
        <v>1369</v>
      </c>
      <c r="BE374" s="3" t="s">
        <v>1285</v>
      </c>
      <c r="BF374" s="118">
        <v>2.81</v>
      </c>
      <c r="BG374" s="49" t="s">
        <v>1</v>
      </c>
      <c r="BH374" s="49" t="s">
        <v>1</v>
      </c>
      <c r="BI374" s="1"/>
      <c r="BJ374" s="70" t="s">
        <v>1281</v>
      </c>
      <c r="BK374" s="57" t="s">
        <v>1281</v>
      </c>
      <c r="BL374" s="57" t="s">
        <v>1281</v>
      </c>
      <c r="BM374" s="57" t="s">
        <v>1281</v>
      </c>
      <c r="BN374" s="57" t="s">
        <v>1281</v>
      </c>
      <c r="BO374" s="57" t="s">
        <v>1281</v>
      </c>
      <c r="BP374" s="57" t="s">
        <v>1281</v>
      </c>
      <c r="BQ374" s="57" t="s">
        <v>1281</v>
      </c>
      <c r="BR374" s="57" t="s">
        <v>1281</v>
      </c>
      <c r="BS374" s="57" t="s">
        <v>1281</v>
      </c>
      <c r="BT374" s="57" t="s">
        <v>1281</v>
      </c>
      <c r="BU374" s="57" t="s">
        <v>1281</v>
      </c>
      <c r="BV374" s="70">
        <f>E374</f>
        <v>11</v>
      </c>
      <c r="BW374" s="71" t="str">
        <f>I374</f>
        <v>-</v>
      </c>
      <c r="BX374" s="72">
        <f>M374</f>
        <v>49</v>
      </c>
      <c r="BY374" s="71">
        <f>Q374</f>
        <v>82</v>
      </c>
      <c r="BZ374" s="72">
        <f>U374</f>
        <v>86</v>
      </c>
      <c r="CA374" s="71" t="str">
        <f>Y374</f>
        <v>-</v>
      </c>
      <c r="CB374" s="72">
        <f>AC374</f>
        <v>141</v>
      </c>
      <c r="CC374" s="71">
        <f>AG374</f>
        <v>173</v>
      </c>
      <c r="CD374" s="72">
        <f>AK374</f>
        <v>183</v>
      </c>
      <c r="CE374" s="71">
        <f>AO374</f>
        <v>224</v>
      </c>
      <c r="CF374" s="72">
        <f>AS374</f>
        <v>264</v>
      </c>
      <c r="CG374" s="71">
        <f>AW374</f>
        <v>300</v>
      </c>
      <c r="CH374" s="70">
        <f>G374</f>
        <v>44</v>
      </c>
      <c r="CI374" s="71" t="str">
        <f>K374</f>
        <v>-</v>
      </c>
      <c r="CJ374" s="72">
        <f>O374</f>
        <v>80</v>
      </c>
      <c r="CK374" s="72">
        <f>S374</f>
        <v>85</v>
      </c>
      <c r="CL374" s="72">
        <f>W374</f>
        <v>120</v>
      </c>
      <c r="CM374" s="72" t="str">
        <f>AA374</f>
        <v>-</v>
      </c>
      <c r="CN374" s="72">
        <f>AE374</f>
        <v>155</v>
      </c>
      <c r="CO374" s="72">
        <f>AI374</f>
        <v>175</v>
      </c>
      <c r="CP374" s="72">
        <f>AM374</f>
        <v>214</v>
      </c>
      <c r="CQ374" s="72">
        <f>AQ374</f>
        <v>261</v>
      </c>
      <c r="CR374" s="72">
        <f>AU374</f>
        <v>299</v>
      </c>
      <c r="CS374" s="72">
        <f>AY374</f>
        <v>313</v>
      </c>
      <c r="CT374" s="23" t="e">
        <f>M374-K374</f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>CONCATENATE(B375,"_",C375)</f>
        <v>ptafr_human_5ZKQ</v>
      </c>
      <c r="B375" s="3" t="s">
        <v>370</v>
      </c>
      <c r="C375" s="3" t="s">
        <v>1500</v>
      </c>
      <c r="D375" s="3" t="str">
        <f>IFERROR(MID(VLOOKUP($B375,Seqs!$A:$B,2,0),E375,1),"")</f>
        <v>D</v>
      </c>
      <c r="E375" s="3">
        <v>10</v>
      </c>
      <c r="F375" s="3" t="str">
        <f>IFERROR(MID(VLOOKUP($B375,Seqs!$A:$B,2,0),G375,1),"")</f>
        <v>L</v>
      </c>
      <c r="G375" s="3">
        <v>43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F</v>
      </c>
      <c r="M375" s="3">
        <v>49</v>
      </c>
      <c r="N375" s="3" t="str">
        <f>IFERROR(MID(VLOOKUP($B375,Seqs!$A:$B,2,0),O375,1),"")</f>
        <v>Q</v>
      </c>
      <c r="O375" s="3">
        <v>80</v>
      </c>
      <c r="P375" s="3" t="str">
        <f>IFERROR(MID(VLOOKUP($B375,Seqs!$A:$B,2,0),Q375,1),"")</f>
        <v>N</v>
      </c>
      <c r="Q375" s="3">
        <v>82</v>
      </c>
      <c r="R375" s="3" t="str">
        <f>IFERROR(MID(VLOOKUP($B375,Seqs!$A:$B,2,0),S375,1),"")</f>
        <v>L</v>
      </c>
      <c r="S375" s="3">
        <v>85</v>
      </c>
      <c r="T375" s="3" t="str">
        <f>IFERROR(MID(VLOOKUP($B375,Seqs!$A:$B,2,0),U375,1),"")</f>
        <v>P</v>
      </c>
      <c r="U375" s="3">
        <v>86</v>
      </c>
      <c r="V375" s="3" t="str">
        <f>IFERROR(MID(VLOOKUP($B375,Seqs!$A:$B,2,0),W375,1),"")</f>
        <v>R</v>
      </c>
      <c r="W375" s="3">
        <v>121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130</v>
      </c>
      <c r="AD375" s="3" t="str">
        <f>IFERROR(MID(VLOOKUP($B375,Seqs!$A:$B,2,0),AE375,1),"")</f>
        <v>I</v>
      </c>
      <c r="AE375" s="3">
        <v>154</v>
      </c>
      <c r="AF375" s="3" t="str">
        <f>IFERROR(MID(VLOOKUP($B375,Seqs!$A:$B,2,0),AG375,1),"")</f>
        <v>C</v>
      </c>
      <c r="AG375" s="3">
        <v>173</v>
      </c>
      <c r="AH375" s="3" t="str">
        <f>IFERROR(MID(VLOOKUP($B375,Seqs!$A:$B,2,0),AI375,1),"")</f>
        <v>E</v>
      </c>
      <c r="AI375" s="3">
        <v>175</v>
      </c>
      <c r="AJ375" s="3" t="str">
        <f>IFERROR(MID(VLOOKUP($B375,Seqs!$A:$B,2,0),AK375,1),"")</f>
        <v>S</v>
      </c>
      <c r="AK375" s="3">
        <v>181</v>
      </c>
      <c r="AL375" s="3" t="str">
        <f>IFERROR(MID(VLOOKUP($B375,Seqs!$A:$B,2,0),AM375,1),"")</f>
        <v>M</v>
      </c>
      <c r="AM375" s="3">
        <v>215</v>
      </c>
      <c r="AN375" s="3" t="str">
        <f>IFERROR(MID(VLOOKUP($B375,Seqs!$A:$B,2,0),AO375,1),"")</f>
        <v>K</v>
      </c>
      <c r="AO375" s="3">
        <v>227</v>
      </c>
      <c r="AP375" s="3" t="str">
        <f>IFERROR(MID(VLOOKUP($B375,Seqs!$A:$B,2,0),AQ375,1),"")</f>
        <v>G</v>
      </c>
      <c r="AQ375" s="3">
        <v>261</v>
      </c>
      <c r="AR375" s="3" t="str">
        <f>IFERROR(MID(VLOOKUP($B375,Seqs!$A:$B,2,0),AS375,1),"")</f>
        <v>D</v>
      </c>
      <c r="AS375" s="3">
        <v>264</v>
      </c>
      <c r="AT375" s="3" t="str">
        <f>IFERROR(MID(VLOOKUP($B375,Seqs!$A:$B,2,0),AU375,1),"")</f>
        <v>T</v>
      </c>
      <c r="AU375" s="3">
        <v>297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Platelet-activatingfactor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241</v>
      </c>
      <c r="BD375" s="2" t="s">
        <v>1423</v>
      </c>
      <c r="BE375" s="3" t="s">
        <v>1422</v>
      </c>
      <c r="BF375" s="118">
        <v>2.9</v>
      </c>
      <c r="BG375" s="49" t="s">
        <v>1275</v>
      </c>
      <c r="BH375" s="49" t="s">
        <v>1275</v>
      </c>
      <c r="BI375" s="1"/>
      <c r="BJ375" s="70" t="s">
        <v>1281</v>
      </c>
      <c r="BK375" s="57" t="s">
        <v>1281</v>
      </c>
      <c r="BL375" s="57" t="s">
        <v>1281</v>
      </c>
      <c r="BM375" s="57" t="s">
        <v>1281</v>
      </c>
      <c r="BN375" s="57" t="s">
        <v>1281</v>
      </c>
      <c r="BO375" s="57" t="s">
        <v>1281</v>
      </c>
      <c r="BP375" s="57" t="s">
        <v>1281</v>
      </c>
      <c r="BQ375" s="57" t="s">
        <v>1281</v>
      </c>
      <c r="BR375" s="57" t="s">
        <v>1281</v>
      </c>
      <c r="BS375" s="57" t="s">
        <v>1281</v>
      </c>
      <c r="BT375" s="57" t="s">
        <v>1281</v>
      </c>
      <c r="BU375" s="57" t="s">
        <v>1281</v>
      </c>
      <c r="BV375" s="70">
        <f>E375</f>
        <v>10</v>
      </c>
      <c r="BW375" s="71" t="str">
        <f>I375</f>
        <v>-</v>
      </c>
      <c r="BX375" s="72">
        <f>M375</f>
        <v>49</v>
      </c>
      <c r="BY375" s="71">
        <f>Q375</f>
        <v>82</v>
      </c>
      <c r="BZ375" s="72">
        <f>U375</f>
        <v>86</v>
      </c>
      <c r="CA375" s="71" t="str">
        <f>Y375</f>
        <v>-</v>
      </c>
      <c r="CB375" s="72">
        <f>AC375</f>
        <v>130</v>
      </c>
      <c r="CC375" s="71">
        <f>AG375</f>
        <v>173</v>
      </c>
      <c r="CD375" s="72">
        <f>AK375</f>
        <v>181</v>
      </c>
      <c r="CE375" s="71">
        <f>AO375</f>
        <v>227</v>
      </c>
      <c r="CF375" s="72">
        <f>AS375</f>
        <v>264</v>
      </c>
      <c r="CG375" s="71" t="str">
        <f>AW375</f>
        <v>-</v>
      </c>
      <c r="CH375" s="70">
        <f>G375</f>
        <v>43</v>
      </c>
      <c r="CI375" s="71" t="str">
        <f>K375</f>
        <v>-</v>
      </c>
      <c r="CJ375" s="72">
        <f>O375</f>
        <v>80</v>
      </c>
      <c r="CK375" s="72">
        <f>S375</f>
        <v>85</v>
      </c>
      <c r="CL375" s="72">
        <f>W375</f>
        <v>121</v>
      </c>
      <c r="CM375" s="72" t="str">
        <f>AA375</f>
        <v>-</v>
      </c>
      <c r="CN375" s="72">
        <f>AE375</f>
        <v>154</v>
      </c>
      <c r="CO375" s="72">
        <f>AI375</f>
        <v>175</v>
      </c>
      <c r="CP375" s="72">
        <f>AM375</f>
        <v>215</v>
      </c>
      <c r="CQ375" s="72">
        <f>AQ375</f>
        <v>261</v>
      </c>
      <c r="CR375" s="72">
        <f>AU375</f>
        <v>297</v>
      </c>
      <c r="CS375" s="72" t="str">
        <f>AY375</f>
        <v>-</v>
      </c>
      <c r="CT375" s="23" t="e">
        <f>M375-K375</f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 t="shared" si="3047"/>
        <v>q08bg4_danre__wt</v>
      </c>
      <c r="B376" s="3" t="s">
        <v>1434</v>
      </c>
      <c r="C376" s="3" t="s">
        <v>100</v>
      </c>
      <c r="D376" s="3" t="str">
        <f>IFERROR(MID(VLOOKUP($B376,Seqs!$A:$B,2,0),E376,1),"")</f>
        <v>K</v>
      </c>
      <c r="E376" s="3">
        <v>26</v>
      </c>
      <c r="F376" s="3" t="str">
        <f>IFERROR(MID(VLOOKUP($B376,Seqs!$A:$B,2,0),G376,1),"")</f>
        <v>S</v>
      </c>
      <c r="G376" s="3">
        <v>55</v>
      </c>
      <c r="H376" s="3" t="str">
        <f>IFERROR(MID(VLOOKUP($B376,Seqs!$A:$B,2,0),I376,1),"")</f>
        <v>L</v>
      </c>
      <c r="I376" s="23">
        <v>56</v>
      </c>
      <c r="J376" s="3" t="str">
        <f>IFERROR(MID(VLOOKUP($B376,Seqs!$A:$B,2,0),K376,1),"")</f>
        <v>R</v>
      </c>
      <c r="K376" s="23">
        <v>59</v>
      </c>
      <c r="L376" s="3" t="str">
        <f>IFERROR(MID(VLOOKUP($B376,Seqs!$A:$B,2,0),M376,1),"")</f>
        <v>N</v>
      </c>
      <c r="M376" s="3">
        <v>60</v>
      </c>
      <c r="N376" s="3" t="str">
        <f>IFERROR(MID(VLOOKUP($B376,Seqs!$A:$B,2,0),O376,1),"")</f>
        <v>Q</v>
      </c>
      <c r="O376" s="3">
        <v>89</v>
      </c>
      <c r="P376" s="3" t="str">
        <f>IFERROR(MID(VLOOKUP($B376,Seqs!$A:$B,2,0),Q376,1),"")</f>
        <v>N</v>
      </c>
      <c r="Q376" s="3">
        <v>91</v>
      </c>
      <c r="R376" s="3" t="str">
        <f>IFERROR(MID(VLOOKUP($B376,Seqs!$A:$B,2,0),S376,1),"")</f>
        <v>F</v>
      </c>
      <c r="S376" s="3">
        <v>94</v>
      </c>
      <c r="T376" s="3" t="str">
        <f>IFERROR(MID(VLOOKUP($B376,Seqs!$A:$B,2,0),U376,1),"")</f>
        <v>G</v>
      </c>
      <c r="U376" s="3">
        <v>95</v>
      </c>
      <c r="V376" s="3" t="str">
        <f>IFERROR(MID(VLOOKUP($B376,Seqs!$A:$B,2,0),W376,1),"")</f>
        <v>Y</v>
      </c>
      <c r="W376" s="3">
        <v>130</v>
      </c>
      <c r="X376" s="3" t="str">
        <f>IFERROR(MID(VLOOKUP($B376,Seqs!$A:$B,2,0),Y376,1),"")</f>
        <v>P</v>
      </c>
      <c r="Y376" s="3">
        <v>131</v>
      </c>
      <c r="Z376" s="3" t="str">
        <f>IFERROR(MID(VLOOKUP($B376,Seqs!$A:$B,2,0),AA376,1),"")</f>
        <v>R</v>
      </c>
      <c r="AA376" s="3">
        <v>138</v>
      </c>
      <c r="AB376" s="3" t="str">
        <f>IFERROR(MID(VLOOKUP($B376,Seqs!$A:$B,2,0),AC376,1),"")</f>
        <v>T</v>
      </c>
      <c r="AC376" s="3">
        <v>139</v>
      </c>
      <c r="AD376" s="3" t="str">
        <f>IFERROR(MID(VLOOKUP($B376,Seqs!$A:$B,2,0),AE376,1),"")</f>
        <v>N</v>
      </c>
      <c r="AE376" s="3">
        <v>166</v>
      </c>
      <c r="AF376" s="3" t="str">
        <f>IFERROR(MID(VLOOKUP($B376,Seqs!$A:$B,2,0),AG376,1),"")</f>
        <v>C</v>
      </c>
      <c r="AG376" s="3">
        <v>178</v>
      </c>
      <c r="AH376" s="3" t="str">
        <f>IFERROR(MID(VLOOKUP($B376,Seqs!$A:$B,2,0),AI376,1),"")</f>
        <v>E</v>
      </c>
      <c r="AI376" s="3">
        <v>180</v>
      </c>
      <c r="AJ376" s="3" t="str">
        <f>IFERROR(MID(VLOOKUP($B376,Seqs!$A:$B,2,0),AK376,1),"")</f>
        <v>W</v>
      </c>
      <c r="AK376" s="3">
        <v>187</v>
      </c>
      <c r="AL376" s="3" t="str">
        <f>IFERROR(MID(VLOOKUP($B376,Seqs!$A:$B,2,0),AM376,1),"")</f>
        <v>P</v>
      </c>
      <c r="AM376" s="3">
        <v>224</v>
      </c>
      <c r="AN376" s="3" t="str">
        <f>IFERROR(MID(VLOOKUP($B376,Seqs!$A:$B,2,0),AO376,1),"")</f>
        <v>R</v>
      </c>
      <c r="AO376" s="3">
        <v>229</v>
      </c>
      <c r="AP376" s="3" t="str">
        <f>IFERROR(MID(VLOOKUP($B376,Seqs!$A:$B,2,0),AQ376,1),"")</f>
        <v>N</v>
      </c>
      <c r="AQ376" s="3">
        <v>269</v>
      </c>
      <c r="AR376" s="3" t="str">
        <f>IFERROR(MID(VLOOKUP($B376,Seqs!$A:$B,2,0),AS376,1),"")</f>
        <v>G</v>
      </c>
      <c r="AS376" s="3">
        <v>273</v>
      </c>
      <c r="AT376" s="3" t="str">
        <f>IFERROR(MID(VLOOKUP($B376,Seqs!$A:$B,2,0),AU376,1),"")</f>
        <v>T</v>
      </c>
      <c r="AU376" s="3">
        <v>305</v>
      </c>
      <c r="AV376" s="3" t="str">
        <f>IFERROR(MID(VLOOKUP($B376,Seqs!$A:$B,2,0),AW376,1),"")</f>
        <v>S</v>
      </c>
      <c r="AW376" s="3">
        <v>306</v>
      </c>
      <c r="AX376" s="3" t="str">
        <f>IFERROR(MID(VLOOKUP($B376,Seqs!$A:$B,2,0),AY376,1),"")</f>
        <v>G</v>
      </c>
      <c r="AY376" s="3">
        <v>320</v>
      </c>
      <c r="AZ376" s="77" t="str">
        <f>VLOOKUP(B376,Classification!A:D,2,0)</f>
        <v>A</v>
      </c>
      <c r="BA376" s="94" t="str">
        <f>VLOOKUP(B376,Classification!A:D,4,0)</f>
        <v>Lysophospholipid(LPA)</v>
      </c>
      <c r="BB376" s="27" t="b">
        <f t="shared" si="3048"/>
        <v>1</v>
      </c>
      <c r="BC376" s="23">
        <f t="shared" si="3049"/>
        <v>270</v>
      </c>
      <c r="BD376" s="2" t="s">
        <v>23</v>
      </c>
      <c r="BE376" s="3" t="s">
        <v>23</v>
      </c>
      <c r="BF376" s="118" t="s">
        <v>23</v>
      </c>
      <c r="BG376" s="49" t="s">
        <v>1</v>
      </c>
      <c r="BH376" s="49" t="s">
        <v>1371</v>
      </c>
      <c r="BI376" s="1"/>
      <c r="BJ376" s="70" t="s">
        <v>1281</v>
      </c>
      <c r="BK376" s="57" t="s">
        <v>1281</v>
      </c>
      <c r="BL376" s="57" t="s">
        <v>1281</v>
      </c>
      <c r="BM376" s="57" t="s">
        <v>1281</v>
      </c>
      <c r="BN376" s="57" t="s">
        <v>1281</v>
      </c>
      <c r="BO376" s="57" t="s">
        <v>1281</v>
      </c>
      <c r="BP376" s="57" t="s">
        <v>1281</v>
      </c>
      <c r="BQ376" s="57" t="s">
        <v>1281</v>
      </c>
      <c r="BR376" s="57" t="s">
        <v>1281</v>
      </c>
      <c r="BS376" s="57" t="s">
        <v>1281</v>
      </c>
      <c r="BT376" s="57" t="s">
        <v>1281</v>
      </c>
      <c r="BU376" s="57" t="s">
        <v>1281</v>
      </c>
      <c r="BV376" s="70">
        <f t="shared" si="3050"/>
        <v>26</v>
      </c>
      <c r="BW376" s="71">
        <f t="shared" si="3051"/>
        <v>56</v>
      </c>
      <c r="BX376" s="72">
        <f t="shared" si="3052"/>
        <v>60</v>
      </c>
      <c r="BY376" s="71">
        <f t="shared" si="3053"/>
        <v>91</v>
      </c>
      <c r="BZ376" s="72">
        <f t="shared" si="3054"/>
        <v>95</v>
      </c>
      <c r="CA376" s="71">
        <f t="shared" si="3055"/>
        <v>131</v>
      </c>
      <c r="CB376" s="72">
        <f t="shared" si="3056"/>
        <v>139</v>
      </c>
      <c r="CC376" s="71">
        <f t="shared" si="3057"/>
        <v>178</v>
      </c>
      <c r="CD376" s="72">
        <f t="shared" si="3058"/>
        <v>187</v>
      </c>
      <c r="CE376" s="71">
        <f t="shared" si="3059"/>
        <v>229</v>
      </c>
      <c r="CF376" s="72">
        <f t="shared" si="3060"/>
        <v>273</v>
      </c>
      <c r="CG376" s="71">
        <f t="shared" si="3061"/>
        <v>306</v>
      </c>
      <c r="CH376" s="70">
        <f t="shared" si="3062"/>
        <v>55</v>
      </c>
      <c r="CI376" s="71">
        <f t="shared" si="3063"/>
        <v>59</v>
      </c>
      <c r="CJ376" s="72">
        <f t="shared" si="3064"/>
        <v>89</v>
      </c>
      <c r="CK376" s="72">
        <f t="shared" si="3065"/>
        <v>94</v>
      </c>
      <c r="CL376" s="72">
        <f t="shared" si="3066"/>
        <v>130</v>
      </c>
      <c r="CM376" s="72">
        <f t="shared" si="3067"/>
        <v>138</v>
      </c>
      <c r="CN376" s="72">
        <f t="shared" si="3068"/>
        <v>166</v>
      </c>
      <c r="CO376" s="72">
        <f t="shared" si="3069"/>
        <v>180</v>
      </c>
      <c r="CP376" s="72">
        <f t="shared" si="3070"/>
        <v>224</v>
      </c>
      <c r="CQ376" s="72">
        <f t="shared" si="3071"/>
        <v>269</v>
      </c>
      <c r="CR376" s="72">
        <f t="shared" si="3072"/>
        <v>305</v>
      </c>
      <c r="CS376" s="72">
        <f t="shared" si="3073"/>
        <v>320</v>
      </c>
      <c r="CT376" s="23">
        <f t="shared" si="3074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 t="shared" si="3047"/>
        <v>q08bg4_danre_5XSZ</v>
      </c>
      <c r="B377" s="3" t="s">
        <v>1434</v>
      </c>
      <c r="C377" s="3" t="s">
        <v>1436</v>
      </c>
      <c r="D377" s="3" t="str">
        <f>IFERROR(MID(VLOOKUP($B377,Seqs!$A:$B,2,0),E377,1),"")</f>
        <v>K</v>
      </c>
      <c r="E377" s="3">
        <v>26</v>
      </c>
      <c r="F377" s="3" t="str">
        <f>IFERROR(MID(VLOOKUP($B377,Seqs!$A:$B,2,0),G377,1),"")</f>
        <v>S</v>
      </c>
      <c r="G377" s="3">
        <v>55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N</v>
      </c>
      <c r="M377" s="3">
        <v>60</v>
      </c>
      <c r="N377" s="3" t="str">
        <f>IFERROR(MID(VLOOKUP($B377,Seqs!$A:$B,2,0),O377,1),"")</f>
        <v>Q</v>
      </c>
      <c r="O377" s="3">
        <v>89</v>
      </c>
      <c r="P377" s="3" t="str">
        <f>IFERROR(MID(VLOOKUP($B377,Seqs!$A:$B,2,0),Q377,1),"")</f>
        <v>N</v>
      </c>
      <c r="Q377" s="3">
        <v>91</v>
      </c>
      <c r="R377" s="3" t="str">
        <f>IFERROR(MID(VLOOKUP($B377,Seqs!$A:$B,2,0),S377,1),"")</f>
        <v>F</v>
      </c>
      <c r="S377" s="3">
        <v>94</v>
      </c>
      <c r="T377" s="3" t="str">
        <f>IFERROR(MID(VLOOKUP($B377,Seqs!$A:$B,2,0),U377,1),"")</f>
        <v>G</v>
      </c>
      <c r="U377" s="3">
        <v>95</v>
      </c>
      <c r="V377" s="3" t="str">
        <f>IFERROR(MID(VLOOKUP($B377,Seqs!$A:$B,2,0),W377,1),"")</f>
        <v>Y</v>
      </c>
      <c r="W377" s="3">
        <v>130</v>
      </c>
      <c r="X377" s="3" t="str">
        <f>IFERROR(MID(VLOOKUP($B377,Seqs!$A:$B,2,0),Y377,1),"")</f>
        <v>P</v>
      </c>
      <c r="Y377" s="3">
        <v>131</v>
      </c>
      <c r="Z377" s="3" t="str">
        <f>IFERROR(MID(VLOOKUP($B377,Seqs!$A:$B,2,0),AA377,1),"")</f>
        <v>R</v>
      </c>
      <c r="AA377" s="3">
        <v>138</v>
      </c>
      <c r="AB377" s="3" t="str">
        <f>IFERROR(MID(VLOOKUP($B377,Seqs!$A:$B,2,0),AC377,1),"")</f>
        <v>T</v>
      </c>
      <c r="AC377" s="3">
        <v>139</v>
      </c>
      <c r="AD377" s="3" t="str">
        <f>IFERROR(MID(VLOOKUP($B377,Seqs!$A:$B,2,0),AE377,1),"")</f>
        <v>N</v>
      </c>
      <c r="AE377" s="3">
        <v>166</v>
      </c>
      <c r="AF377" s="3" t="str">
        <f>IFERROR(MID(VLOOKUP($B377,Seqs!$A:$B,2,0),AG377,1),"")</f>
        <v>C</v>
      </c>
      <c r="AG377" s="3">
        <v>178</v>
      </c>
      <c r="AH377" s="3" t="str">
        <f>IFERROR(MID(VLOOKUP($B377,Seqs!$A:$B,2,0),AI377,1),"")</f>
        <v>F</v>
      </c>
      <c r="AI377" s="3">
        <v>179</v>
      </c>
      <c r="AJ377" s="3" t="str">
        <f>IFERROR(MID(VLOOKUP($B377,Seqs!$A:$B,2,0),AK377,1),"")</f>
        <v>W</v>
      </c>
      <c r="AK377" s="3">
        <v>187</v>
      </c>
      <c r="AL377" s="3" t="str">
        <f>IFERROR(MID(VLOOKUP($B377,Seqs!$A:$B,2,0),AM377,1),"")</f>
        <v>R</v>
      </c>
      <c r="AM377" s="3">
        <v>223</v>
      </c>
      <c r="AN377" s="3" t="str">
        <f>IFERROR(MID(VLOOKUP($B377,Seqs!$A:$B,2,0),AO377,1),"")</f>
        <v>N</v>
      </c>
      <c r="AO377" s="3">
        <v>234</v>
      </c>
      <c r="AP377" s="3" t="str">
        <f>IFERROR(MID(VLOOKUP($B377,Seqs!$A:$B,2,0),AQ377,1),"")</f>
        <v>N</v>
      </c>
      <c r="AQ377" s="3">
        <v>269</v>
      </c>
      <c r="AR377" s="3" t="str">
        <f>IFERROR(MID(VLOOKUP($B377,Seqs!$A:$B,2,0),AS377,1),"")</f>
        <v>G</v>
      </c>
      <c r="AS377" s="3">
        <v>273</v>
      </c>
      <c r="AT377" s="3" t="str">
        <f>IFERROR(MID(VLOOKUP($B377,Seqs!$A:$B,2,0),AU377,1),"")</f>
        <v>T</v>
      </c>
      <c r="AU377" s="3">
        <v>308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A</v>
      </c>
      <c r="BA377" s="94" t="str">
        <f>VLOOKUP(B377,Classification!A:D,4,0)</f>
        <v>Lysophospholipid(LPA)</v>
      </c>
      <c r="BB377" s="27" t="b">
        <f t="shared" si="3048"/>
        <v>1</v>
      </c>
      <c r="BC377" s="23">
        <f t="shared" si="3049"/>
        <v>249</v>
      </c>
      <c r="BD377" s="2" t="s">
        <v>1369</v>
      </c>
      <c r="BE377" s="3" t="s">
        <v>1285</v>
      </c>
      <c r="BF377" s="118">
        <v>3.2</v>
      </c>
      <c r="BG377" s="49" t="s">
        <v>1</v>
      </c>
      <c r="BH377" s="49" t="s">
        <v>1371</v>
      </c>
      <c r="BI377" s="1"/>
      <c r="BJ377" s="70" t="s">
        <v>1281</v>
      </c>
      <c r="BK377" s="57" t="s">
        <v>1281</v>
      </c>
      <c r="BL377" s="57" t="s">
        <v>1281</v>
      </c>
      <c r="BM377" s="57" t="s">
        <v>1281</v>
      </c>
      <c r="BN377" s="57" t="s">
        <v>1281</v>
      </c>
      <c r="BO377" s="57" t="s">
        <v>1281</v>
      </c>
      <c r="BP377" s="57" t="s">
        <v>1281</v>
      </c>
      <c r="BQ377" s="57" t="s">
        <v>1281</v>
      </c>
      <c r="BR377" s="57" t="s">
        <v>1281</v>
      </c>
      <c r="BS377" s="57" t="s">
        <v>1281</v>
      </c>
      <c r="BT377" s="57" t="s">
        <v>1281</v>
      </c>
      <c r="BU377" s="57" t="s">
        <v>1281</v>
      </c>
      <c r="BV377" s="70">
        <f t="shared" si="3050"/>
        <v>26</v>
      </c>
      <c r="BW377" s="71" t="str">
        <f t="shared" si="3051"/>
        <v>-</v>
      </c>
      <c r="BX377" s="72">
        <f t="shared" si="3052"/>
        <v>60</v>
      </c>
      <c r="BY377" s="71">
        <f t="shared" si="3053"/>
        <v>91</v>
      </c>
      <c r="BZ377" s="72">
        <f t="shared" si="3054"/>
        <v>95</v>
      </c>
      <c r="CA377" s="71">
        <f t="shared" si="3055"/>
        <v>131</v>
      </c>
      <c r="CB377" s="72">
        <f t="shared" si="3056"/>
        <v>139</v>
      </c>
      <c r="CC377" s="71">
        <f t="shared" si="3057"/>
        <v>178</v>
      </c>
      <c r="CD377" s="72">
        <f t="shared" si="3058"/>
        <v>187</v>
      </c>
      <c r="CE377" s="71">
        <f t="shared" si="3059"/>
        <v>234</v>
      </c>
      <c r="CF377" s="72">
        <f t="shared" si="3060"/>
        <v>273</v>
      </c>
      <c r="CG377" s="71" t="str">
        <f t="shared" si="3061"/>
        <v>-</v>
      </c>
      <c r="CH377" s="70">
        <f t="shared" si="3062"/>
        <v>55</v>
      </c>
      <c r="CI377" s="71" t="str">
        <f t="shared" si="3063"/>
        <v>-</v>
      </c>
      <c r="CJ377" s="72">
        <f t="shared" si="3064"/>
        <v>89</v>
      </c>
      <c r="CK377" s="72">
        <f t="shared" si="3065"/>
        <v>94</v>
      </c>
      <c r="CL377" s="72">
        <f t="shared" si="3066"/>
        <v>130</v>
      </c>
      <c r="CM377" s="72">
        <f t="shared" si="3067"/>
        <v>138</v>
      </c>
      <c r="CN377" s="72">
        <f t="shared" si="3068"/>
        <v>166</v>
      </c>
      <c r="CO377" s="72">
        <f t="shared" si="3069"/>
        <v>179</v>
      </c>
      <c r="CP377" s="72">
        <f t="shared" si="3070"/>
        <v>223</v>
      </c>
      <c r="CQ377" s="72">
        <f t="shared" si="3071"/>
        <v>269</v>
      </c>
      <c r="CR377" s="72">
        <f t="shared" si="3072"/>
        <v>308</v>
      </c>
      <c r="CS377" s="72" t="str">
        <f t="shared" si="3073"/>
        <v>-</v>
      </c>
      <c r="CT377" s="23" t="e">
        <f t="shared" si="3074"/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 t="shared" si="3047"/>
        <v>q9wtk1_cavpo__wt</v>
      </c>
      <c r="B378" s="3" t="s">
        <v>1445</v>
      </c>
      <c r="C378" s="3" t="s">
        <v>100</v>
      </c>
      <c r="D378" s="3" t="str">
        <f>IFERROR(MID(VLOOKUP($B378,Seqs!$A:$B,2,0),E378,1),"")</f>
        <v>T</v>
      </c>
      <c r="E378" s="3">
        <v>17</v>
      </c>
      <c r="F378" s="3" t="str">
        <f>IFERROR(MID(VLOOKUP($B378,Seqs!$A:$B,2,0),G378,1),"")</f>
        <v>R</v>
      </c>
      <c r="G378" s="3">
        <v>48</v>
      </c>
      <c r="H378" s="3" t="str">
        <f>IFERROR(MID(VLOOKUP($B378,Seqs!$A:$B,2,0),I378,1),"")</f>
        <v>M</v>
      </c>
      <c r="I378" s="23">
        <v>49</v>
      </c>
      <c r="J378" s="3" t="str">
        <f>IFERROR(MID(VLOOKUP($B378,Seqs!$A:$B,2,0),K378,1),"")</f>
        <v>R</v>
      </c>
      <c r="K378" s="23">
        <v>52</v>
      </c>
      <c r="L378" s="3" t="str">
        <f>IFERROR(MID(VLOOKUP($B378,Seqs!$A:$B,2,0),M378,1),"")</f>
        <v>S</v>
      </c>
      <c r="M378" s="3">
        <v>53</v>
      </c>
      <c r="N378" s="3" t="str">
        <f>IFERROR(MID(VLOOKUP($B378,Seqs!$A:$B,2,0),O378,1),"")</f>
        <v>H</v>
      </c>
      <c r="O378" s="3">
        <v>83</v>
      </c>
      <c r="P378" s="3" t="str">
        <f>IFERROR(MID(VLOOKUP($B378,Seqs!$A:$B,2,0),Q378,1),"")</f>
        <v>T</v>
      </c>
      <c r="Q378" s="3">
        <v>84</v>
      </c>
      <c r="R378" s="3" t="str">
        <f>IFERROR(MID(VLOOKUP($B378,Seqs!$A:$B,2,0),S378,1),"")</f>
        <v>F</v>
      </c>
      <c r="S378" s="3">
        <v>87</v>
      </c>
      <c r="T378" s="3" t="str">
        <f>IFERROR(MID(VLOOKUP($B378,Seqs!$A:$B,2,0),U378,1),"")</f>
        <v>K</v>
      </c>
      <c r="U378" s="3">
        <v>88</v>
      </c>
      <c r="V378" s="3" t="str">
        <f>IFERROR(MID(VLOOKUP($B378,Seqs!$A:$B,2,0),W378,1),"")</f>
        <v>S</v>
      </c>
      <c r="W378" s="3">
        <v>123</v>
      </c>
      <c r="X378" s="3" t="str">
        <f>IFERROR(MID(VLOOKUP($B378,Seqs!$A:$B,2,0),Y378,1),"")</f>
        <v>P</v>
      </c>
      <c r="Y378" s="3">
        <v>124</v>
      </c>
      <c r="Z378" s="3" t="str">
        <f>IFERROR(MID(VLOOKUP($B378,Seqs!$A:$B,2,0),AA378,1),"")</f>
        <v>R</v>
      </c>
      <c r="AA378" s="3">
        <v>131</v>
      </c>
      <c r="AB378" s="3" t="str">
        <f>IFERROR(MID(VLOOKUP($B378,Seqs!$A:$B,2,0),AC378,1),"")</f>
        <v>T</v>
      </c>
      <c r="AC378" s="3">
        <v>132</v>
      </c>
      <c r="AD378" s="3" t="str">
        <f>IFERROR(MID(VLOOKUP($B378,Seqs!$A:$B,2,0),AE378,1),"")</f>
        <v>R</v>
      </c>
      <c r="AE378" s="3">
        <v>158</v>
      </c>
      <c r="AF378" s="3" t="str">
        <f>IFERROR(MID(VLOOKUP($B378,Seqs!$A:$B,2,0),AG378,1),"")</f>
        <v>C</v>
      </c>
      <c r="AG378" s="3">
        <v>170</v>
      </c>
      <c r="AH378" s="3" t="str">
        <f>IFERROR(MID(VLOOKUP($B378,Seqs!$A:$B,2,0),AI378,1),"")</f>
        <v>A</v>
      </c>
      <c r="AI378" s="3">
        <v>172</v>
      </c>
      <c r="AJ378" s="3" t="str">
        <f>IFERROR(MID(VLOOKUP($B378,Seqs!$A:$B,2,0),AK378,1),"")</f>
        <v>S</v>
      </c>
      <c r="AK378" s="3">
        <v>176</v>
      </c>
      <c r="AL378" s="3" t="str">
        <f>IFERROR(MID(VLOOKUP($B378,Seqs!$A:$B,2,0),AM378,1),"")</f>
        <v>R</v>
      </c>
      <c r="AM378" s="3">
        <v>213</v>
      </c>
      <c r="AN378" s="3" t="str">
        <f>IFERROR(MID(VLOOKUP($B378,Seqs!$A:$B,2,0),AO378,1),"")</f>
        <v>R</v>
      </c>
      <c r="AO378" s="3">
        <v>218</v>
      </c>
      <c r="AP378" s="3" t="str">
        <f>IFERROR(MID(VLOOKUP($B378,Seqs!$A:$B,2,0),AQ378,1),"")</f>
        <v>A</v>
      </c>
      <c r="AQ378" s="3">
        <v>252</v>
      </c>
      <c r="AR378" s="3" t="str">
        <f>IFERROR(MID(VLOOKUP($B378,Seqs!$A:$B,2,0),AS378,1),"")</f>
        <v>L</v>
      </c>
      <c r="AS378" s="3">
        <v>255</v>
      </c>
      <c r="AT378" s="3" t="str">
        <f>IFERROR(MID(VLOOKUP($B378,Seqs!$A:$B,2,0),AU378,1),"")</f>
        <v>A</v>
      </c>
      <c r="AU378" s="3">
        <v>287</v>
      </c>
      <c r="AV378" s="3" t="str">
        <f>IFERROR(MID(VLOOKUP($B378,Seqs!$A:$B,2,0),AW378,1),"")</f>
        <v>G</v>
      </c>
      <c r="AW378" s="3">
        <v>288</v>
      </c>
      <c r="AX378" s="3" t="str">
        <f>IFERROR(MID(VLOOKUP($B378,Seqs!$A:$B,2,0),AY378,1),"")</f>
        <v>K</v>
      </c>
      <c r="AY378" s="3">
        <v>302</v>
      </c>
      <c r="AZ378" s="77" t="str">
        <f>VLOOKUP(B378,Classification!A:D,2,0)</f>
        <v>A</v>
      </c>
      <c r="BA378" s="94" t="str">
        <f>VLOOKUP(B378,Classification!A:D,4,0)</f>
        <v>Leukotriene</v>
      </c>
      <c r="BB378" s="27" t="b">
        <f t="shared" si="3048"/>
        <v>1</v>
      </c>
      <c r="BC378" s="23">
        <f t="shared" si="3049"/>
        <v>266</v>
      </c>
      <c r="BD378" s="2" t="s">
        <v>23</v>
      </c>
      <c r="BE378" s="3" t="s">
        <v>23</v>
      </c>
      <c r="BF378" s="118" t="s">
        <v>23</v>
      </c>
      <c r="BG378" s="49" t="s">
        <v>1</v>
      </c>
      <c r="BH378" s="49" t="s">
        <v>1</v>
      </c>
      <c r="BI378" s="1"/>
      <c r="BJ378" s="70" t="s">
        <v>1281</v>
      </c>
      <c r="BK378" s="57" t="s">
        <v>1281</v>
      </c>
      <c r="BL378" s="57" t="s">
        <v>1281</v>
      </c>
      <c r="BM378" s="57" t="s">
        <v>1281</v>
      </c>
      <c r="BN378" s="57" t="s">
        <v>1281</v>
      </c>
      <c r="BO378" s="57" t="s">
        <v>1281</v>
      </c>
      <c r="BP378" s="57" t="s">
        <v>1281</v>
      </c>
      <c r="BQ378" s="57" t="s">
        <v>1281</v>
      </c>
      <c r="BR378" s="57" t="s">
        <v>1281</v>
      </c>
      <c r="BS378" s="57" t="s">
        <v>1281</v>
      </c>
      <c r="BT378" s="57" t="s">
        <v>1281</v>
      </c>
      <c r="BU378" s="57" t="s">
        <v>1281</v>
      </c>
      <c r="BV378" s="70">
        <f t="shared" si="3050"/>
        <v>17</v>
      </c>
      <c r="BW378" s="71">
        <f t="shared" si="3051"/>
        <v>49</v>
      </c>
      <c r="BX378" s="72">
        <f t="shared" si="3052"/>
        <v>53</v>
      </c>
      <c r="BY378" s="71">
        <f t="shared" si="3053"/>
        <v>84</v>
      </c>
      <c r="BZ378" s="72">
        <f t="shared" si="3054"/>
        <v>88</v>
      </c>
      <c r="CA378" s="71">
        <f t="shared" si="3055"/>
        <v>124</v>
      </c>
      <c r="CB378" s="72">
        <f t="shared" si="3056"/>
        <v>132</v>
      </c>
      <c r="CC378" s="71">
        <f t="shared" si="3057"/>
        <v>170</v>
      </c>
      <c r="CD378" s="72">
        <f t="shared" si="3058"/>
        <v>176</v>
      </c>
      <c r="CE378" s="71">
        <f t="shared" si="3059"/>
        <v>218</v>
      </c>
      <c r="CF378" s="72">
        <f t="shared" si="3060"/>
        <v>255</v>
      </c>
      <c r="CG378" s="71">
        <f t="shared" si="3061"/>
        <v>288</v>
      </c>
      <c r="CH378" s="70">
        <f t="shared" si="3062"/>
        <v>48</v>
      </c>
      <c r="CI378" s="71">
        <f t="shared" si="3063"/>
        <v>52</v>
      </c>
      <c r="CJ378" s="72">
        <f t="shared" si="3064"/>
        <v>83</v>
      </c>
      <c r="CK378" s="72">
        <f t="shared" si="3065"/>
        <v>87</v>
      </c>
      <c r="CL378" s="72">
        <f t="shared" si="3066"/>
        <v>123</v>
      </c>
      <c r="CM378" s="72">
        <f t="shared" si="3067"/>
        <v>131</v>
      </c>
      <c r="CN378" s="72">
        <f t="shared" si="3068"/>
        <v>158</v>
      </c>
      <c r="CO378" s="72">
        <f t="shared" si="3069"/>
        <v>172</v>
      </c>
      <c r="CP378" s="72">
        <f t="shared" si="3070"/>
        <v>213</v>
      </c>
      <c r="CQ378" s="72">
        <f t="shared" si="3071"/>
        <v>252</v>
      </c>
      <c r="CR378" s="72">
        <f t="shared" si="3072"/>
        <v>287</v>
      </c>
      <c r="CS378" s="72">
        <f t="shared" si="3073"/>
        <v>302</v>
      </c>
      <c r="CT378" s="23">
        <f t="shared" si="3074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 t="shared" si="3047"/>
        <v>q9wtk1_cavpo_5X33</v>
      </c>
      <c r="B379" s="3" t="s">
        <v>1445</v>
      </c>
      <c r="C379" s="3" t="s">
        <v>1446</v>
      </c>
      <c r="D379" s="3" t="str">
        <f>IFERROR(MID(VLOOKUP($B379,Seqs!$A:$B,2,0),E379,1),"")</f>
        <v>T</v>
      </c>
      <c r="E379" s="3">
        <v>17</v>
      </c>
      <c r="F379" s="3" t="str">
        <f>IFERROR(MID(VLOOKUP($B379,Seqs!$A:$B,2,0),G379,1),"")</f>
        <v>R</v>
      </c>
      <c r="G379" s="3">
        <v>48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53</v>
      </c>
      <c r="N379" s="3" t="str">
        <f>IFERROR(MID(VLOOKUP($B379,Seqs!$A:$B,2,0),O379,1),"")</f>
        <v>H</v>
      </c>
      <c r="O379" s="3">
        <v>83</v>
      </c>
      <c r="P379" s="3" t="str">
        <f>IFERROR(MID(VLOOKUP($B379,Seqs!$A:$B,2,0),Q379,1),"")</f>
        <v>T</v>
      </c>
      <c r="Q379" s="3">
        <v>84</v>
      </c>
      <c r="R379" s="3" t="str">
        <f>IFERROR(MID(VLOOKUP($B379,Seqs!$A:$B,2,0),S379,1),"")</f>
        <v>F</v>
      </c>
      <c r="S379" s="3">
        <v>87</v>
      </c>
      <c r="T379" s="3" t="str">
        <f>IFERROR(MID(VLOOKUP($B379,Seqs!$A:$B,2,0),U379,1),"")</f>
        <v>K</v>
      </c>
      <c r="U379" s="3">
        <v>88</v>
      </c>
      <c r="V379" s="3" t="str">
        <f>IFERROR(MID(VLOOKUP($B379,Seqs!$A:$B,2,0),W379,1),"")</f>
        <v>S</v>
      </c>
      <c r="W379" s="3">
        <v>123</v>
      </c>
      <c r="X379" s="3" t="str">
        <f>IFERROR(MID(VLOOKUP($B379,Seqs!$A:$B,2,0),Y379,1),"")</f>
        <v>P</v>
      </c>
      <c r="Y379" s="3">
        <v>124</v>
      </c>
      <c r="Z379" s="3" t="str">
        <f>IFERROR(MID(VLOOKUP($B379,Seqs!$A:$B,2,0),AA379,1),"")</f>
        <v>R</v>
      </c>
      <c r="AA379" s="3">
        <v>131</v>
      </c>
      <c r="AB379" s="3" t="str">
        <f>IFERROR(MID(VLOOKUP($B379,Seqs!$A:$B,2,0),AC379,1),"")</f>
        <v>T</v>
      </c>
      <c r="AC379" s="3">
        <v>132</v>
      </c>
      <c r="AD379" s="3" t="str">
        <f>IFERROR(MID(VLOOKUP($B379,Seqs!$A:$B,2,0),AE379,1),"")</f>
        <v>R</v>
      </c>
      <c r="AE379" s="3">
        <v>158</v>
      </c>
      <c r="AF379" s="3" t="str">
        <f>IFERROR(MID(VLOOKUP($B379,Seqs!$A:$B,2,0),AG379,1),"")</f>
        <v>C</v>
      </c>
      <c r="AG379" s="3">
        <v>170</v>
      </c>
      <c r="AH379" s="3" t="str">
        <f>IFERROR(MID(VLOOKUP($B379,Seqs!$A:$B,2,0),AI379,1),"")</f>
        <v>A</v>
      </c>
      <c r="AI379" s="3">
        <v>172</v>
      </c>
      <c r="AJ379" s="3" t="str">
        <f>IFERROR(MID(VLOOKUP($B379,Seqs!$A:$B,2,0),AK379,1),"")</f>
        <v>S</v>
      </c>
      <c r="AK379" s="3">
        <v>176</v>
      </c>
      <c r="AL379" s="3" t="str">
        <f>IFERROR(MID(VLOOKUP($B379,Seqs!$A:$B,2,0),AM379,1),"")</f>
        <v>R</v>
      </c>
      <c r="AM379" s="3">
        <v>213</v>
      </c>
      <c r="AN379" s="3" t="str">
        <f>IFERROR(MID(VLOOKUP($B379,Seqs!$A:$B,2,0),AO379,1),"")</f>
        <v>I</v>
      </c>
      <c r="AO379" s="3">
        <v>227</v>
      </c>
      <c r="AP379" s="3" t="str">
        <f>IFERROR(MID(VLOOKUP($B379,Seqs!$A:$B,2,0),AQ379,1),"")</f>
        <v>R</v>
      </c>
      <c r="AQ379" s="3">
        <v>249</v>
      </c>
      <c r="AR379" s="3" t="str">
        <f>IFERROR(MID(VLOOKUP($B379,Seqs!$A:$B,2,0),AS379,1),"")</f>
        <v>Q</v>
      </c>
      <c r="AS379" s="3">
        <v>261</v>
      </c>
      <c r="AT379" s="3" t="str">
        <f>IFERROR(MID(VLOOKUP($B379,Seqs!$A:$B,2,0),AU379,1),"")</f>
        <v>S</v>
      </c>
      <c r="AU379" s="3">
        <v>278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Leukotriene</v>
      </c>
      <c r="BB379" s="27" t="b">
        <f t="shared" si="3048"/>
        <v>1</v>
      </c>
      <c r="BC379" s="23">
        <f t="shared" si="3049"/>
        <v>222</v>
      </c>
      <c r="BD379" s="2" t="s">
        <v>1370</v>
      </c>
      <c r="BE379" s="3" t="s">
        <v>1368</v>
      </c>
      <c r="BF379" s="118">
        <v>3.7</v>
      </c>
      <c r="BG379" s="49" t="s">
        <v>1</v>
      </c>
      <c r="BH379" s="49" t="s">
        <v>1371</v>
      </c>
      <c r="BI379" s="1"/>
      <c r="BJ379" s="70" t="s">
        <v>1281</v>
      </c>
      <c r="BK379" s="57" t="s">
        <v>1281</v>
      </c>
      <c r="BL379" s="57" t="s">
        <v>1281</v>
      </c>
      <c r="BM379" s="57" t="s">
        <v>1281</v>
      </c>
      <c r="BN379" s="57" t="s">
        <v>1281</v>
      </c>
      <c r="BO379" s="57" t="s">
        <v>1281</v>
      </c>
      <c r="BP379" s="57" t="s">
        <v>1281</v>
      </c>
      <c r="BQ379" s="57" t="s">
        <v>1281</v>
      </c>
      <c r="BR379" s="57" t="s">
        <v>1281</v>
      </c>
      <c r="BS379" s="57" t="s">
        <v>1281</v>
      </c>
      <c r="BT379" s="57" t="s">
        <v>1281</v>
      </c>
      <c r="BU379" s="57" t="s">
        <v>1281</v>
      </c>
      <c r="BV379" s="70">
        <f t="shared" si="3050"/>
        <v>17</v>
      </c>
      <c r="BW379" s="71" t="str">
        <f t="shared" si="3051"/>
        <v>-</v>
      </c>
      <c r="BX379" s="72">
        <f t="shared" si="3052"/>
        <v>53</v>
      </c>
      <c r="BY379" s="71">
        <f t="shared" si="3053"/>
        <v>84</v>
      </c>
      <c r="BZ379" s="72">
        <f t="shared" si="3054"/>
        <v>88</v>
      </c>
      <c r="CA379" s="71">
        <f t="shared" si="3055"/>
        <v>124</v>
      </c>
      <c r="CB379" s="72">
        <f t="shared" si="3056"/>
        <v>132</v>
      </c>
      <c r="CC379" s="71">
        <f t="shared" si="3057"/>
        <v>170</v>
      </c>
      <c r="CD379" s="72">
        <f t="shared" si="3058"/>
        <v>176</v>
      </c>
      <c r="CE379" s="71">
        <f t="shared" si="3059"/>
        <v>227</v>
      </c>
      <c r="CF379" s="72">
        <f t="shared" si="3060"/>
        <v>261</v>
      </c>
      <c r="CG379" s="71" t="str">
        <f t="shared" si="3061"/>
        <v>-</v>
      </c>
      <c r="CH379" s="70">
        <f t="shared" si="3062"/>
        <v>48</v>
      </c>
      <c r="CI379" s="71" t="str">
        <f t="shared" si="3063"/>
        <v>-</v>
      </c>
      <c r="CJ379" s="72">
        <f t="shared" si="3064"/>
        <v>83</v>
      </c>
      <c r="CK379" s="72">
        <f t="shared" si="3065"/>
        <v>87</v>
      </c>
      <c r="CL379" s="72">
        <f t="shared" si="3066"/>
        <v>123</v>
      </c>
      <c r="CM379" s="72">
        <f t="shared" si="3067"/>
        <v>131</v>
      </c>
      <c r="CN379" s="72">
        <f t="shared" si="3068"/>
        <v>158</v>
      </c>
      <c r="CO379" s="72">
        <f t="shared" si="3069"/>
        <v>172</v>
      </c>
      <c r="CP379" s="72">
        <f t="shared" si="3070"/>
        <v>213</v>
      </c>
      <c r="CQ379" s="72">
        <f t="shared" si="3071"/>
        <v>249</v>
      </c>
      <c r="CR379" s="72">
        <f t="shared" si="3072"/>
        <v>278</v>
      </c>
      <c r="CS379" s="72" t="str">
        <f t="shared" si="3073"/>
        <v>-</v>
      </c>
      <c r="CT379" s="23" t="e">
        <f t="shared" si="3074"/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 t="shared" si="2541"/>
        <v>s1pr1_human__wt</v>
      </c>
      <c r="B380" s="3" t="s">
        <v>104</v>
      </c>
      <c r="C380" s="3" t="s">
        <v>100</v>
      </c>
      <c r="D380" s="3" t="str">
        <f>IFERROR(MID(VLOOKUP($B380,Seqs!$A:$B,2,0),E380,1),"")</f>
        <v>E</v>
      </c>
      <c r="E380" s="3">
        <v>42</v>
      </c>
      <c r="F380" s="3" t="str">
        <f>IFERROR(MID(VLOOKUP($B380,Seqs!$A:$B,2,0),G380,1),"")</f>
        <v>T</v>
      </c>
      <c r="G380" s="3">
        <v>73</v>
      </c>
      <c r="H380" s="3" t="str">
        <f>IFERROR(MID(VLOOKUP($B380,Seqs!$A:$B,2,0),I380,1),"")</f>
        <v>K</v>
      </c>
      <c r="I380" s="23">
        <v>74</v>
      </c>
      <c r="J380" s="3" t="str">
        <f>IFERROR(MID(VLOOKUP($B380,Seqs!$A:$B,2,0),K380,1),"")</f>
        <v>H</v>
      </c>
      <c r="K380" s="23">
        <v>77</v>
      </c>
      <c r="L380" s="3" t="str">
        <f>IFERROR(MID(VLOOKUP($B380,Seqs!$A:$B,2,0),M380,1),"")</f>
        <v>R</v>
      </c>
      <c r="M380" s="3">
        <v>78</v>
      </c>
      <c r="N380" s="3" t="str">
        <f>IFERROR(MID(VLOOKUP($B380,Seqs!$A:$B,2,0),O380,1),"")</f>
        <v>L</v>
      </c>
      <c r="O380" s="3">
        <v>104</v>
      </c>
      <c r="P380" s="3" t="str">
        <f>IFERROR(MID(VLOOKUP($B380,Seqs!$A:$B,2,0),Q380,1),"")</f>
        <v>G</v>
      </c>
      <c r="Q380" s="3">
        <v>106</v>
      </c>
      <c r="R380" s="3" t="str">
        <f>IFERROR(MID(VLOOKUP($B380,Seqs!$A:$B,2,0),S380,1),"")</f>
        <v>L</v>
      </c>
      <c r="S380" s="3">
        <v>112</v>
      </c>
      <c r="T380" s="3" t="str">
        <f>IFERROR(MID(VLOOKUP($B380,Seqs!$A:$B,2,0),U380,1),"")</f>
        <v>T</v>
      </c>
      <c r="U380" s="3">
        <v>113</v>
      </c>
      <c r="V380" s="3" t="str">
        <f>IFERROR(MID(VLOOKUP($B380,Seqs!$A:$B,2,0),W380,1),"")</f>
        <v>K</v>
      </c>
      <c r="W380" s="105">
        <v>148</v>
      </c>
      <c r="X380" s="3" t="str">
        <f>IFERROR(MID(VLOOKUP($B380,Seqs!$A:$B,2,0),Y380,1),"")</f>
        <v>M</v>
      </c>
      <c r="Y380" s="105">
        <v>149</v>
      </c>
      <c r="Z380" s="3" t="str">
        <f>IFERROR(MID(VLOOKUP($B380,Seqs!$A:$B,2,0),AA380,1),"")</f>
        <v>S</v>
      </c>
      <c r="AA380" s="105">
        <v>155</v>
      </c>
      <c r="AB380" s="3" t="str">
        <f>IFERROR(MID(VLOOKUP($B380,Seqs!$A:$B,2,0),AC380,1),"")</f>
        <v>N</v>
      </c>
      <c r="AC380" s="105">
        <v>156</v>
      </c>
      <c r="AD380" s="3" t="str">
        <f>IFERROR(MID(VLOOKUP($B380,Seqs!$A:$B,2,0),AE380,1),"")</f>
        <v>G</v>
      </c>
      <c r="AE380" s="3">
        <v>181</v>
      </c>
      <c r="AF380" s="3" t="str">
        <f>IFERROR(MID(VLOOKUP($B380,Seqs!$A:$B,2,0),AG380,1),"")</f>
        <v/>
      </c>
      <c r="AG380" s="3" t="s">
        <v>23</v>
      </c>
      <c r="AH380" s="3" t="str">
        <f>IFERROR(MID(VLOOKUP($B380,Seqs!$A:$B,2,0),AI380,1),"")</f>
        <v/>
      </c>
      <c r="AI380" s="3" t="s">
        <v>23</v>
      </c>
      <c r="AJ380" s="3" t="str">
        <f>IFERROR(MID(VLOOKUP($B380,Seqs!$A:$B,2,0),AK380,1),"")</f>
        <v>H</v>
      </c>
      <c r="AK380" s="3">
        <v>199</v>
      </c>
      <c r="AL380" s="3" t="str">
        <f>IFERROR(MID(VLOOKUP($B380,Seqs!$A:$B,2,0),AM380,1),"")</f>
        <v>T</v>
      </c>
      <c r="AM380" s="3">
        <v>236</v>
      </c>
      <c r="AN380" s="3" t="str">
        <f>IFERROR(MID(VLOOKUP($B380,Seqs!$A:$B,2,0),AO380,1),"")</f>
        <v>S</v>
      </c>
      <c r="AO380" s="3">
        <v>245</v>
      </c>
      <c r="AP380" s="3" t="str">
        <f>IFERROR(MID(VLOOKUP($B380,Seqs!$A:$B,2,0),AQ380,1),"")</f>
        <v>C</v>
      </c>
      <c r="AQ380" s="3">
        <v>282</v>
      </c>
      <c r="AR380" s="3" t="str">
        <f>IFERROR(MID(VLOOKUP($B380,Seqs!$A:$B,2,0),AS380,1),"")</f>
        <v>D</v>
      </c>
      <c r="AS380" s="3">
        <v>288</v>
      </c>
      <c r="AT380" s="3" t="str">
        <f>IFERROR(MID(VLOOKUP($B380,Seqs!$A:$B,2,0),AU380,1),"")</f>
        <v>T</v>
      </c>
      <c r="AU380" s="3">
        <v>314</v>
      </c>
      <c r="AV380" s="3" t="str">
        <f>IFERROR(MID(VLOOKUP($B380,Seqs!$A:$B,2,0),AW380,1),"")</f>
        <v>N</v>
      </c>
      <c r="AW380" s="3">
        <v>315</v>
      </c>
      <c r="AX380" s="3" t="str">
        <f>IFERROR(MID(VLOOKUP($B380,Seqs!$A:$B,2,0),AY380,1),"")</f>
        <v>S</v>
      </c>
      <c r="AY380" s="3">
        <v>327</v>
      </c>
      <c r="AZ380" s="77" t="str">
        <f>VLOOKUP(B380,Classification!A:D,2,0)</f>
        <v>A</v>
      </c>
      <c r="BA380" s="94" t="str">
        <f>VLOOKUP(B380,Classification!A:D,4,0)</f>
        <v>Lysophospholipid(S1P)</v>
      </c>
      <c r="BB380" s="27" t="b">
        <f t="shared" si="2542"/>
        <v>1</v>
      </c>
      <c r="BC380" s="23">
        <f t="shared" si="2515"/>
        <v>256</v>
      </c>
      <c r="BD380" s="56" t="s">
        <v>23</v>
      </c>
      <c r="BE380" s="3" t="s">
        <v>23</v>
      </c>
      <c r="BF380" s="118" t="s">
        <v>23</v>
      </c>
      <c r="BG380" s="49" t="s">
        <v>1366</v>
      </c>
      <c r="BH380" s="49" t="s">
        <v>1371</v>
      </c>
      <c r="BI380" s="1"/>
      <c r="BJ380" s="70" t="s">
        <v>1281</v>
      </c>
      <c r="BK380" s="57" t="s">
        <v>1281</v>
      </c>
      <c r="BL380" s="57" t="s">
        <v>1281</v>
      </c>
      <c r="BM380" s="57" t="s">
        <v>1281</v>
      </c>
      <c r="BN380" s="57" t="s">
        <v>1281</v>
      </c>
      <c r="BO380" s="57" t="s">
        <v>1281</v>
      </c>
      <c r="BP380" s="57" t="s">
        <v>1281</v>
      </c>
      <c r="BQ380" s="57" t="s">
        <v>1281</v>
      </c>
      <c r="BR380" s="57" t="s">
        <v>1281</v>
      </c>
      <c r="BS380" s="57" t="s">
        <v>1281</v>
      </c>
      <c r="BT380" s="57" t="s">
        <v>1281</v>
      </c>
      <c r="BU380" s="57" t="s">
        <v>1281</v>
      </c>
      <c r="BV380" s="70">
        <f t="shared" si="2516"/>
        <v>42</v>
      </c>
      <c r="BW380" s="71">
        <f t="shared" si="2517"/>
        <v>74</v>
      </c>
      <c r="BX380" s="72">
        <f t="shared" si="2518"/>
        <v>78</v>
      </c>
      <c r="BY380" s="71">
        <f t="shared" si="2519"/>
        <v>106</v>
      </c>
      <c r="BZ380" s="72">
        <f t="shared" si="2520"/>
        <v>113</v>
      </c>
      <c r="CA380" s="71">
        <f t="shared" si="2521"/>
        <v>149</v>
      </c>
      <c r="CB380" s="72">
        <f t="shared" si="2522"/>
        <v>156</v>
      </c>
      <c r="CC380" s="71" t="str">
        <f t="shared" si="2523"/>
        <v>-</v>
      </c>
      <c r="CD380" s="72">
        <f t="shared" si="2524"/>
        <v>199</v>
      </c>
      <c r="CE380" s="71">
        <f t="shared" si="2525"/>
        <v>245</v>
      </c>
      <c r="CF380" s="72">
        <f t="shared" si="2526"/>
        <v>288</v>
      </c>
      <c r="CG380" s="71">
        <f t="shared" si="2527"/>
        <v>315</v>
      </c>
      <c r="CH380" s="70">
        <f t="shared" si="2528"/>
        <v>73</v>
      </c>
      <c r="CI380" s="71">
        <f t="shared" si="2529"/>
        <v>77</v>
      </c>
      <c r="CJ380" s="72">
        <f t="shared" si="2530"/>
        <v>104</v>
      </c>
      <c r="CK380" s="72">
        <f t="shared" si="2531"/>
        <v>112</v>
      </c>
      <c r="CL380" s="72">
        <f t="shared" si="2532"/>
        <v>148</v>
      </c>
      <c r="CM380" s="72">
        <f t="shared" si="2533"/>
        <v>155</v>
      </c>
      <c r="CN380" s="72">
        <f t="shared" si="2534"/>
        <v>181</v>
      </c>
      <c r="CO380" s="72" t="str">
        <f t="shared" si="2535"/>
        <v>-</v>
      </c>
      <c r="CP380" s="72">
        <f t="shared" si="2536"/>
        <v>236</v>
      </c>
      <c r="CQ380" s="72">
        <f t="shared" si="2537"/>
        <v>282</v>
      </c>
      <c r="CR380" s="72">
        <f t="shared" si="2538"/>
        <v>314</v>
      </c>
      <c r="CS380" s="72">
        <f t="shared" si="2539"/>
        <v>327</v>
      </c>
      <c r="CT380" s="23">
        <f t="shared" si="2540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 t="shared" si="2541"/>
        <v>s1pr1_human_3V2Y</v>
      </c>
      <c r="B381" s="3" t="s">
        <v>104</v>
      </c>
      <c r="C381" s="3" t="s">
        <v>94</v>
      </c>
      <c r="D381" s="3" t="str">
        <f>IFERROR(MID(VLOOKUP($B381,Seqs!$A:$B,2,0),E381,1),"")</f>
        <v>E</v>
      </c>
      <c r="E381" s="3">
        <v>42</v>
      </c>
      <c r="F381" s="3" t="str">
        <f>IFERROR(MID(VLOOKUP($B381,Seqs!$A:$B,2,0),G381,1),"")</f>
        <v>T</v>
      </c>
      <c r="G381" s="3">
        <v>73</v>
      </c>
      <c r="H381" s="3" t="str">
        <f>IFERROR(MID(VLOOKUP($B381,Seqs!$A:$B,2,0),I381,1),"")</f>
        <v>K</v>
      </c>
      <c r="I381" s="23">
        <v>74</v>
      </c>
      <c r="J381" s="3" t="str">
        <f>IFERROR(MID(VLOOKUP($B381,Seqs!$A:$B,2,0),K381,1),"")</f>
        <v>H</v>
      </c>
      <c r="K381" s="23">
        <v>77</v>
      </c>
      <c r="L381" s="3" t="str">
        <f>IFERROR(MID(VLOOKUP($B381,Seqs!$A:$B,2,0),M381,1),"")</f>
        <v>R</v>
      </c>
      <c r="M381" s="3">
        <v>78</v>
      </c>
      <c r="N381" s="3" t="str">
        <f>IFERROR(MID(VLOOKUP($B381,Seqs!$A:$B,2,0),O381,1),"")</f>
        <v>L</v>
      </c>
      <c r="O381" s="3">
        <v>104</v>
      </c>
      <c r="P381" s="3" t="str">
        <f>IFERROR(MID(VLOOKUP($B381,Seqs!$A:$B,2,0),Q381,1),"")</f>
        <v>G</v>
      </c>
      <c r="Q381" s="3">
        <v>106</v>
      </c>
      <c r="R381" s="3" t="str">
        <f>IFERROR(MID(VLOOKUP($B381,Seqs!$A:$B,2,0),S381,1),"")</f>
        <v>L</v>
      </c>
      <c r="S381" s="3">
        <v>112</v>
      </c>
      <c r="T381" s="3" t="str">
        <f>IFERROR(MID(VLOOKUP($B381,Seqs!$A:$B,2,0),U381,1),"")</f>
        <v>T</v>
      </c>
      <c r="U381" s="3">
        <v>113</v>
      </c>
      <c r="V381" s="3" t="str">
        <f>IFERROR(MID(VLOOKUP($B381,Seqs!$A:$B,2,0),W381,1),"")</f>
        <v>T</v>
      </c>
      <c r="W381" s="105">
        <v>145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N</v>
      </c>
      <c r="AC381" s="105">
        <v>156</v>
      </c>
      <c r="AD381" s="3" t="str">
        <f>IFERROR(MID(VLOOKUP($B381,Seqs!$A:$B,2,0),AE381,1),"")</f>
        <v>G</v>
      </c>
      <c r="AE381" s="3">
        <v>181</v>
      </c>
      <c r="AF381" s="3" t="str">
        <f>IFERROR(MID(VLOOKUP($B381,Seqs!$A:$B,2,0),AG381,1),"")</f>
        <v/>
      </c>
      <c r="AG381" s="3" t="s">
        <v>23</v>
      </c>
      <c r="AH381" s="3" t="str">
        <f>IFERROR(MID(VLOOKUP($B381,Seqs!$A:$B,2,0),AI381,1),"")</f>
        <v/>
      </c>
      <c r="AI381" s="3" t="s">
        <v>23</v>
      </c>
      <c r="AJ381" s="3" t="str">
        <f>IFERROR(MID(VLOOKUP($B381,Seqs!$A:$B,2,0),AK381,1),"")</f>
        <v>H</v>
      </c>
      <c r="AK381" s="3">
        <v>199</v>
      </c>
      <c r="AL381" s="3" t="str">
        <f>IFERROR(MID(VLOOKUP($B381,Seqs!$A:$B,2,0),AM381,1),"")</f>
        <v>R</v>
      </c>
      <c r="AM381" s="3">
        <v>231</v>
      </c>
      <c r="AN381" s="3" t="str">
        <f>IFERROR(MID(VLOOKUP($B381,Seqs!$A:$B,2,0),AO381,1),"")</f>
        <v>S</v>
      </c>
      <c r="AO381" s="3">
        <v>251</v>
      </c>
      <c r="AP381" s="3" t="str">
        <f>IFERROR(MID(VLOOKUP($B381,Seqs!$A:$B,2,0),AQ381,1),"")</f>
        <v>C</v>
      </c>
      <c r="AQ381" s="3">
        <v>282</v>
      </c>
      <c r="AR381" s="3" t="str">
        <f>IFERROR(MID(VLOOKUP($B381,Seqs!$A:$B,2,0),AS381,1),"")</f>
        <v>D</v>
      </c>
      <c r="AS381" s="3">
        <v>288</v>
      </c>
      <c r="AT381" s="3" t="str">
        <f>IFERROR(MID(VLOOKUP($B381,Seqs!$A:$B,2,0),AU381,1),"")</f>
        <v>T</v>
      </c>
      <c r="AU381" s="3">
        <v>314</v>
      </c>
      <c r="AV381" s="3" t="str">
        <f>IFERROR(MID(VLOOKUP($B381,Seqs!$A:$B,2,0),AW381,1),"")</f>
        <v>N</v>
      </c>
      <c r="AW381" s="3">
        <v>315</v>
      </c>
      <c r="AX381" s="3" t="str">
        <f>IFERROR(MID(VLOOKUP($B381,Seqs!$A:$B,2,0),AY381,1),"")</f>
        <v>I</v>
      </c>
      <c r="AY381" s="3">
        <v>323</v>
      </c>
      <c r="AZ381" s="77" t="str">
        <f>VLOOKUP(B381,Classification!A:D,2,0)</f>
        <v>A</v>
      </c>
      <c r="BA381" s="94" t="str">
        <f>VLOOKUP(B381,Classification!A:D,4,0)</f>
        <v>Lysophospholipid(S1P)</v>
      </c>
      <c r="BB381" s="27" t="b">
        <f t="shared" si="2542"/>
        <v>1</v>
      </c>
      <c r="BC381" s="23">
        <f t="shared" si="2515"/>
        <v>232</v>
      </c>
      <c r="BD381" s="2" t="s">
        <v>1370</v>
      </c>
      <c r="BE381" s="3" t="s">
        <v>1368</v>
      </c>
      <c r="BF381" s="118">
        <v>2.8</v>
      </c>
      <c r="BG381" s="49" t="s">
        <v>1371</v>
      </c>
      <c r="BH381" s="49" t="s">
        <v>1371</v>
      </c>
      <c r="BI381" s="1"/>
      <c r="BJ381" s="70" t="s">
        <v>1281</v>
      </c>
      <c r="BK381" s="57" t="s">
        <v>1281</v>
      </c>
      <c r="BL381" s="57" t="s">
        <v>1281</v>
      </c>
      <c r="BM381" s="57" t="s">
        <v>1281</v>
      </c>
      <c r="BN381" s="57" t="s">
        <v>1281</v>
      </c>
      <c r="BO381" s="57" t="s">
        <v>1281</v>
      </c>
      <c r="BP381" s="57" t="s">
        <v>1281</v>
      </c>
      <c r="BQ381" s="57" t="s">
        <v>1281</v>
      </c>
      <c r="BR381" s="57" t="s">
        <v>1281</v>
      </c>
      <c r="BS381" s="57" t="s">
        <v>1281</v>
      </c>
      <c r="BT381" s="57" t="s">
        <v>1281</v>
      </c>
      <c r="BU381" s="57" t="s">
        <v>1281</v>
      </c>
      <c r="BV381" s="70">
        <f t="shared" si="2516"/>
        <v>42</v>
      </c>
      <c r="BW381" s="71">
        <f t="shared" si="2517"/>
        <v>74</v>
      </c>
      <c r="BX381" s="72">
        <f t="shared" si="2518"/>
        <v>78</v>
      </c>
      <c r="BY381" s="71">
        <f t="shared" si="2519"/>
        <v>106</v>
      </c>
      <c r="BZ381" s="72">
        <f t="shared" si="2520"/>
        <v>113</v>
      </c>
      <c r="CA381" s="71" t="str">
        <f t="shared" si="2521"/>
        <v>-</v>
      </c>
      <c r="CB381" s="72">
        <f t="shared" si="2522"/>
        <v>156</v>
      </c>
      <c r="CC381" s="71" t="str">
        <f t="shared" si="2523"/>
        <v>-</v>
      </c>
      <c r="CD381" s="72">
        <f t="shared" si="2524"/>
        <v>199</v>
      </c>
      <c r="CE381" s="71">
        <f t="shared" si="2525"/>
        <v>251</v>
      </c>
      <c r="CF381" s="72">
        <f t="shared" si="2526"/>
        <v>288</v>
      </c>
      <c r="CG381" s="71">
        <f t="shared" si="2527"/>
        <v>315</v>
      </c>
      <c r="CH381" s="70">
        <f t="shared" si="2528"/>
        <v>73</v>
      </c>
      <c r="CI381" s="71">
        <f t="shared" si="2529"/>
        <v>77</v>
      </c>
      <c r="CJ381" s="72">
        <f t="shared" si="2530"/>
        <v>104</v>
      </c>
      <c r="CK381" s="72">
        <f t="shared" si="2531"/>
        <v>112</v>
      </c>
      <c r="CL381" s="72">
        <f t="shared" si="2532"/>
        <v>145</v>
      </c>
      <c r="CM381" s="72" t="str">
        <f t="shared" si="2533"/>
        <v>-</v>
      </c>
      <c r="CN381" s="72">
        <f t="shared" si="2534"/>
        <v>181</v>
      </c>
      <c r="CO381" s="72" t="str">
        <f t="shared" si="2535"/>
        <v>-</v>
      </c>
      <c r="CP381" s="72">
        <f t="shared" si="2536"/>
        <v>231</v>
      </c>
      <c r="CQ381" s="72">
        <f t="shared" si="2537"/>
        <v>282</v>
      </c>
      <c r="CR381" s="72">
        <f t="shared" si="2538"/>
        <v>314</v>
      </c>
      <c r="CS381" s="72">
        <f t="shared" si="2539"/>
        <v>323</v>
      </c>
      <c r="CT381" s="23">
        <f t="shared" si="2540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s="12" customFormat="1" x14ac:dyDescent="0.2">
      <c r="A382" s="9" t="str">
        <f t="shared" ref="A382:A383" si="3243">CONCATENATE(B382,"_",C382)</f>
        <v>sucr1_rat__wt</v>
      </c>
      <c r="B382" s="9" t="s">
        <v>1591</v>
      </c>
      <c r="C382" s="9" t="s">
        <v>100</v>
      </c>
      <c r="D382" s="9" t="str">
        <f>IFERROR(MID(VLOOKUP($B382,Seqs!$A:$B,2,0),E382,1),"")</f>
        <v>C</v>
      </c>
      <c r="E382" s="9">
        <v>7</v>
      </c>
      <c r="F382" s="9" t="str">
        <f>IFERROR(MID(VLOOKUP($B382,Seqs!$A:$B,2,0),G382,1),"")</f>
        <v>M</v>
      </c>
      <c r="G382" s="9">
        <v>48</v>
      </c>
      <c r="H382" s="9" t="str">
        <f>IFERROR(MID(VLOOKUP($B382,Seqs!$A:$B,2,0),I382,1),"")</f>
        <v/>
      </c>
      <c r="I382" s="109" t="s">
        <v>23</v>
      </c>
      <c r="J382" s="9" t="str">
        <f>IFERROR(MID(VLOOKUP($B382,Seqs!$A:$B,2,0),K382,1),"")</f>
        <v/>
      </c>
      <c r="K382" s="109" t="s">
        <v>23</v>
      </c>
      <c r="L382" s="9" t="str">
        <f>IFERROR(MID(VLOOKUP($B382,Seqs!$A:$B,2,0),M382,1),"")</f>
        <v>N</v>
      </c>
      <c r="M382" s="9">
        <v>52</v>
      </c>
      <c r="N382" s="9" t="str">
        <f>IFERROR(MID(VLOOKUP($B382,Seqs!$A:$B,2,0),O382,1),"")</f>
        <v>G</v>
      </c>
      <c r="O382" s="9">
        <v>82</v>
      </c>
      <c r="P382" s="9" t="str">
        <f>IFERROR(MID(VLOOKUP($B382,Seqs!$A:$B,2,0),Q382,1),"")</f>
        <v>N</v>
      </c>
      <c r="Q382" s="9">
        <v>83</v>
      </c>
      <c r="R382" s="9" t="str">
        <f>IFERROR(MID(VLOOKUP($B382,Seqs!$A:$B,2,0),S382,1),"")</f>
        <v>Y</v>
      </c>
      <c r="S382" s="9">
        <v>86</v>
      </c>
      <c r="T382" s="9" t="str">
        <f>IFERROR(MID(VLOOKUP($B382,Seqs!$A:$B,2,0),U382,1),"")</f>
        <v>G</v>
      </c>
      <c r="U382" s="9">
        <v>87</v>
      </c>
      <c r="V382" s="9" t="str">
        <f>IFERROR(MID(VLOOKUP($B382,Seqs!$A:$B,2,0),W382,1),"")</f>
        <v>F</v>
      </c>
      <c r="W382" s="9">
        <v>122</v>
      </c>
      <c r="X382" s="9" t="str">
        <f>IFERROR(MID(VLOOKUP($B382,Seqs!$A:$B,2,0),Y382,1),"")</f>
        <v>P</v>
      </c>
      <c r="Y382" s="9">
        <v>123</v>
      </c>
      <c r="Z382" s="9" t="str">
        <f>IFERROR(MID(VLOOKUP($B382,Seqs!$A:$B,2,0),AA382,1),"")</f>
        <v>Q</v>
      </c>
      <c r="AA382" s="9">
        <v>130</v>
      </c>
      <c r="AB382" s="9" t="str">
        <f>IFERROR(MID(VLOOKUP($B382,Seqs!$A:$B,2,0),AC382,1),"")</f>
        <v>K</v>
      </c>
      <c r="AC382" s="9">
        <v>131</v>
      </c>
      <c r="AD382" s="9" t="str">
        <f>IFERROR(MID(VLOOKUP($B382,Seqs!$A:$B,2,0),AE382,1),"")</f>
        <v>T</v>
      </c>
      <c r="AE382" s="9">
        <v>160</v>
      </c>
      <c r="AF382" s="9" t="str">
        <f>IFERROR(MID(VLOOKUP($B382,Seqs!$A:$B,2,0),AG382,1),"")</f>
        <v>C</v>
      </c>
      <c r="AG382" s="9">
        <v>168</v>
      </c>
      <c r="AH382" s="9" t="str">
        <f>IFERROR(MID(VLOOKUP($B382,Seqs!$A:$B,2,0),AI382,1),"")</f>
        <v>D</v>
      </c>
      <c r="AI382" s="9">
        <v>170</v>
      </c>
      <c r="AJ382" s="9" t="str">
        <f>IFERROR(MID(VLOOKUP($B382,Seqs!$A:$B,2,0),AK382,1),"")</f>
        <v>N</v>
      </c>
      <c r="AK382" s="9">
        <v>176</v>
      </c>
      <c r="AL382" s="9" t="str">
        <f>IFERROR(MID(VLOOKUP($B382,Seqs!$A:$B,2,0),AM382,1),"")</f>
        <v>R</v>
      </c>
      <c r="AM382" s="9">
        <v>213</v>
      </c>
      <c r="AN382" s="9" t="str">
        <f>IFERROR(MID(VLOOKUP($B382,Seqs!$A:$B,2,0),AO382,1),"")</f>
        <v>Q</v>
      </c>
      <c r="AO382" s="9">
        <v>217</v>
      </c>
      <c r="AP382" s="9" t="str">
        <f>IFERROR(MID(VLOOKUP($B382,Seqs!$A:$B,2,0),AQ382,1),"")</f>
        <v>L</v>
      </c>
      <c r="AQ382" s="9">
        <v>256</v>
      </c>
      <c r="AR382" s="9" t="str">
        <f>IFERROR(MID(VLOOKUP($B382,Seqs!$A:$B,2,0),AS382,1),"")</f>
        <v>C</v>
      </c>
      <c r="AS382" s="9">
        <v>263</v>
      </c>
      <c r="AT382" s="9" t="str">
        <f>IFERROR(MID(VLOOKUP($B382,Seqs!$A:$B,2,0),AU382,1),"")</f>
        <v>V</v>
      </c>
      <c r="AU382" s="9">
        <v>293</v>
      </c>
      <c r="AV382" s="9" t="str">
        <f>IFERROR(MID(VLOOKUP($B382,Seqs!$A:$B,2,0),AW382,1),"")</f>
        <v>G</v>
      </c>
      <c r="AW382" s="9">
        <v>294</v>
      </c>
      <c r="AX382" s="9" t="str">
        <f>IFERROR(MID(VLOOKUP($B382,Seqs!$A:$B,2,0),AY382,1),"")</f>
        <v>L</v>
      </c>
      <c r="AY382" s="9">
        <v>312</v>
      </c>
      <c r="AZ382" s="110" t="str">
        <f>VLOOKUP(B382,Classification!A:D,2,0)</f>
        <v>A</v>
      </c>
      <c r="BA382" s="98" t="str">
        <f>VLOOKUP(B382,Classification!A:D,4,0)</f>
        <v>Succinate</v>
      </c>
      <c r="BB382" s="36" t="b">
        <f t="shared" ref="BB382:BB383" si="3244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109">
        <f t="shared" ref="BC382:BC383" si="3245">_xlfn.AGGREGATE(9,6,CH382:CS382)-_xlfn.AGGREGATE(9,6,BV382:CG382)+12</f>
        <v>283</v>
      </c>
      <c r="BD382" s="40" t="s">
        <v>23</v>
      </c>
      <c r="BE382" s="9" t="s">
        <v>23</v>
      </c>
      <c r="BF382" s="119" t="s">
        <v>23</v>
      </c>
      <c r="BG382" s="51" t="s">
        <v>1371</v>
      </c>
      <c r="BH382" s="51" t="s">
        <v>1371</v>
      </c>
      <c r="BJ382" s="111" t="s">
        <v>1281</v>
      </c>
      <c r="BK382" s="112" t="s">
        <v>1281</v>
      </c>
      <c r="BL382" s="112" t="s">
        <v>1281</v>
      </c>
      <c r="BM382" s="112" t="s">
        <v>1281</v>
      </c>
      <c r="BN382" s="112" t="s">
        <v>1281</v>
      </c>
      <c r="BO382" s="112" t="s">
        <v>1281</v>
      </c>
      <c r="BP382" s="112" t="s">
        <v>1281</v>
      </c>
      <c r="BQ382" s="112" t="s">
        <v>1281</v>
      </c>
      <c r="BR382" s="112" t="s">
        <v>1281</v>
      </c>
      <c r="BS382" s="112" t="s">
        <v>1281</v>
      </c>
      <c r="BT382" s="112" t="s">
        <v>1281</v>
      </c>
      <c r="BU382" s="112" t="s">
        <v>1281</v>
      </c>
      <c r="BV382" s="111">
        <f t="shared" ref="BV382:BV383" si="3246">E382</f>
        <v>7</v>
      </c>
      <c r="BW382" s="113" t="str">
        <f t="shared" ref="BW382:BW383" si="3247">I382</f>
        <v>-</v>
      </c>
      <c r="BX382" s="114">
        <f t="shared" ref="BX382:BX383" si="3248">M382</f>
        <v>52</v>
      </c>
      <c r="BY382" s="113">
        <f t="shared" ref="BY382:BY383" si="3249">Q382</f>
        <v>83</v>
      </c>
      <c r="BZ382" s="114">
        <f t="shared" ref="BZ382:BZ383" si="3250">U382</f>
        <v>87</v>
      </c>
      <c r="CA382" s="113">
        <f t="shared" ref="CA382:CA383" si="3251">Y382</f>
        <v>123</v>
      </c>
      <c r="CB382" s="114">
        <f t="shared" ref="CB382:CB383" si="3252">AC382</f>
        <v>131</v>
      </c>
      <c r="CC382" s="113">
        <f t="shared" ref="CC382:CC383" si="3253">AG382</f>
        <v>168</v>
      </c>
      <c r="CD382" s="114">
        <f t="shared" ref="CD382:CD383" si="3254">AK382</f>
        <v>176</v>
      </c>
      <c r="CE382" s="113">
        <f t="shared" ref="CE382:CE383" si="3255">AO382</f>
        <v>217</v>
      </c>
      <c r="CF382" s="114">
        <f t="shared" ref="CF382:CF383" si="3256">AS382</f>
        <v>263</v>
      </c>
      <c r="CG382" s="113">
        <f t="shared" ref="CG382:CG383" si="3257">AW382</f>
        <v>294</v>
      </c>
      <c r="CH382" s="111">
        <f t="shared" ref="CH382:CH383" si="3258">G382</f>
        <v>48</v>
      </c>
      <c r="CI382" s="113" t="str">
        <f t="shared" ref="CI382:CI383" si="3259">K382</f>
        <v>-</v>
      </c>
      <c r="CJ382" s="114">
        <f t="shared" ref="CJ382:CJ383" si="3260">O382</f>
        <v>82</v>
      </c>
      <c r="CK382" s="114">
        <f t="shared" ref="CK382:CK383" si="3261">S382</f>
        <v>86</v>
      </c>
      <c r="CL382" s="114">
        <f t="shared" ref="CL382:CL383" si="3262">W382</f>
        <v>122</v>
      </c>
      <c r="CM382" s="114">
        <f t="shared" ref="CM382:CM383" si="3263">AA382</f>
        <v>130</v>
      </c>
      <c r="CN382" s="114">
        <f t="shared" ref="CN382:CN383" si="3264">AE382</f>
        <v>160</v>
      </c>
      <c r="CO382" s="114">
        <f t="shared" ref="CO382:CO383" si="3265">AI382</f>
        <v>170</v>
      </c>
      <c r="CP382" s="114">
        <f t="shared" ref="CP382:CP383" si="3266">AM382</f>
        <v>213</v>
      </c>
      <c r="CQ382" s="114">
        <f t="shared" ref="CQ382:CQ383" si="3267">AQ382</f>
        <v>256</v>
      </c>
      <c r="CR382" s="114">
        <f t="shared" ref="CR382:CR383" si="3268">AU382</f>
        <v>293</v>
      </c>
      <c r="CS382" s="114">
        <f t="shared" ref="CS382:CS383" si="3269">AY382</f>
        <v>312</v>
      </c>
      <c r="CT382" s="109" t="e">
        <f t="shared" ref="CT382:CT383" si="3270">M382-K382</f>
        <v>#VALUE!</v>
      </c>
    </row>
    <row r="383" spans="1:1029" s="12" customFormat="1" x14ac:dyDescent="0.2">
      <c r="A383" s="9" t="str">
        <f t="shared" si="3243"/>
        <v>sucr1_rat_6IBB</v>
      </c>
      <c r="B383" s="9" t="s">
        <v>1591</v>
      </c>
      <c r="C383" s="9" t="s">
        <v>1592</v>
      </c>
      <c r="D383" s="9" t="str">
        <f>IFERROR(MID(VLOOKUP($B383,Seqs!$A:$B,2,0),E383,1),"")</f>
        <v>C</v>
      </c>
      <c r="E383" s="9">
        <v>7</v>
      </c>
      <c r="F383" s="9" t="str">
        <f>IFERROR(MID(VLOOKUP($B383,Seqs!$A:$B,2,0),G383,1),"")</f>
        <v>M</v>
      </c>
      <c r="G383" s="9">
        <v>48</v>
      </c>
      <c r="H383" s="9" t="str">
        <f>IFERROR(MID(VLOOKUP($B383,Seqs!$A:$B,2,0),I383,1),"")</f>
        <v/>
      </c>
      <c r="I383" s="109" t="s">
        <v>23</v>
      </c>
      <c r="J383" s="9" t="str">
        <f>IFERROR(MID(VLOOKUP($B383,Seqs!$A:$B,2,0),K383,1),"")</f>
        <v/>
      </c>
      <c r="K383" s="109" t="s">
        <v>23</v>
      </c>
      <c r="L383" s="9" t="str">
        <f>IFERROR(MID(VLOOKUP($B383,Seqs!$A:$B,2,0),M383,1),"")</f>
        <v>N</v>
      </c>
      <c r="M383" s="9">
        <v>52</v>
      </c>
      <c r="N383" s="9" t="str">
        <f>IFERROR(MID(VLOOKUP($B383,Seqs!$A:$B,2,0),O383,1),"")</f>
        <v>T</v>
      </c>
      <c r="O383" s="9">
        <v>81</v>
      </c>
      <c r="P383" s="9" t="str">
        <f>IFERROR(MID(VLOOKUP($B383,Seqs!$A:$B,2,0),Q383,1),"")</f>
        <v>N</v>
      </c>
      <c r="Q383" s="9">
        <v>83</v>
      </c>
      <c r="R383" s="9" t="str">
        <f>IFERROR(MID(VLOOKUP($B383,Seqs!$A:$B,2,0),S383,1),"")</f>
        <v>Y</v>
      </c>
      <c r="S383" s="9">
        <v>86</v>
      </c>
      <c r="T383" s="9" t="str">
        <f>IFERROR(MID(VLOOKUP($B383,Seqs!$A:$B,2,0),U383,1),"")</f>
        <v>G</v>
      </c>
      <c r="U383" s="9">
        <v>87</v>
      </c>
      <c r="V383" s="9" t="str">
        <f>IFERROR(MID(VLOOKUP($B383,Seqs!$A:$B,2,0),W383,1),"")</f>
        <v>F</v>
      </c>
      <c r="W383" s="9">
        <v>122</v>
      </c>
      <c r="X383" s="9" t="str">
        <f>IFERROR(MID(VLOOKUP($B383,Seqs!$A:$B,2,0),Y383,1),"")</f>
        <v/>
      </c>
      <c r="Y383" s="9" t="s">
        <v>23</v>
      </c>
      <c r="Z383" s="9" t="str">
        <f>IFERROR(MID(VLOOKUP($B383,Seqs!$A:$B,2,0),AA383,1),"")</f>
        <v/>
      </c>
      <c r="AA383" s="9" t="s">
        <v>23</v>
      </c>
      <c r="AB383" s="9" t="str">
        <f>IFERROR(MID(VLOOKUP($B383,Seqs!$A:$B,2,0),AC383,1),"")</f>
        <v>K</v>
      </c>
      <c r="AC383" s="9">
        <v>131</v>
      </c>
      <c r="AD383" s="9" t="str">
        <f>IFERROR(MID(VLOOKUP($B383,Seqs!$A:$B,2,0),AE383,1),"")</f>
        <v>I</v>
      </c>
      <c r="AE383" s="9">
        <v>157</v>
      </c>
      <c r="AF383" s="9" t="str">
        <f>IFERROR(MID(VLOOKUP($B383,Seqs!$A:$B,2,0),AG383,1),"")</f>
        <v>C</v>
      </c>
      <c r="AG383" s="9">
        <v>168</v>
      </c>
      <c r="AH383" s="9" t="str">
        <f>IFERROR(MID(VLOOKUP($B383,Seqs!$A:$B,2,0),AI383,1),"")</f>
        <v>D</v>
      </c>
      <c r="AI383" s="9">
        <v>170</v>
      </c>
      <c r="AJ383" s="9" t="str">
        <f>IFERROR(MID(VLOOKUP($B383,Seqs!$A:$B,2,0),AK383,1),"")</f>
        <v>N</v>
      </c>
      <c r="AK383" s="9">
        <v>176</v>
      </c>
      <c r="AL383" s="9" t="str">
        <f>IFERROR(MID(VLOOKUP($B383,Seqs!$A:$B,2,0),AM383,1),"")</f>
        <v>R</v>
      </c>
      <c r="AM383" s="9">
        <v>213</v>
      </c>
      <c r="AN383" s="9" t="str">
        <f>IFERROR(MID(VLOOKUP($B383,Seqs!$A:$B,2,0),AO383,1),"")</f>
        <v>L</v>
      </c>
      <c r="AO383" s="9">
        <v>227</v>
      </c>
      <c r="AP383" s="9" t="str">
        <f>IFERROR(MID(VLOOKUP($B383,Seqs!$A:$B,2,0),AQ383,1),"")</f>
        <v>L</v>
      </c>
      <c r="AQ383" s="9">
        <v>256</v>
      </c>
      <c r="AR383" s="9" t="str">
        <f>IFERROR(MID(VLOOKUP($B383,Seqs!$A:$B,2,0),AS383,1),"")</f>
        <v>C</v>
      </c>
      <c r="AS383" s="9">
        <v>263</v>
      </c>
      <c r="AT383" s="9" t="str">
        <f>IFERROR(MID(VLOOKUP($B383,Seqs!$A:$B,2,0),AU383,1),"")</f>
        <v>Y</v>
      </c>
      <c r="AU383" s="9">
        <v>290</v>
      </c>
      <c r="AV383" s="9" t="str">
        <f>IFERROR(MID(VLOOKUP($B383,Seqs!$A:$B,2,0),AW383,1),"")</f>
        <v>H</v>
      </c>
      <c r="AW383" s="9">
        <v>296</v>
      </c>
      <c r="AX383" s="9" t="str">
        <f>IFERROR(MID(VLOOKUP($B383,Seqs!$A:$B,2,0),AY383,1),"")</f>
        <v>L</v>
      </c>
      <c r="AY383" s="9">
        <v>312</v>
      </c>
      <c r="AZ383" s="110" t="str">
        <f>VLOOKUP(B383,Classification!A:D,2,0)</f>
        <v>A</v>
      </c>
      <c r="BA383" s="98" t="str">
        <f>VLOOKUP(B383,Classification!A:D,4,0)</f>
        <v>Succinate</v>
      </c>
      <c r="BB383" s="36" t="b">
        <f t="shared" si="3244"/>
        <v>1</v>
      </c>
      <c r="BC383" s="109">
        <f t="shared" si="3245"/>
        <v>257</v>
      </c>
      <c r="BD383" s="40" t="s">
        <v>23</v>
      </c>
      <c r="BE383" s="9" t="s">
        <v>1285</v>
      </c>
      <c r="BF383" s="119">
        <v>2.12</v>
      </c>
      <c r="BG383" s="51" t="s">
        <v>1</v>
      </c>
      <c r="BH383" s="51" t="s">
        <v>1</v>
      </c>
      <c r="BJ383" s="111" t="s">
        <v>1281</v>
      </c>
      <c r="BK383" s="112" t="s">
        <v>1281</v>
      </c>
      <c r="BL383" s="112" t="s">
        <v>1281</v>
      </c>
      <c r="BM383" s="112" t="s">
        <v>1281</v>
      </c>
      <c r="BN383" s="112" t="s">
        <v>1281</v>
      </c>
      <c r="BO383" s="112" t="s">
        <v>1281</v>
      </c>
      <c r="BP383" s="112" t="s">
        <v>1281</v>
      </c>
      <c r="BQ383" s="112" t="s">
        <v>1281</v>
      </c>
      <c r="BR383" s="112" t="s">
        <v>1281</v>
      </c>
      <c r="BS383" s="112" t="s">
        <v>1281</v>
      </c>
      <c r="BT383" s="112" t="s">
        <v>1281</v>
      </c>
      <c r="BU383" s="112" t="s">
        <v>1281</v>
      </c>
      <c r="BV383" s="111">
        <f t="shared" si="3246"/>
        <v>7</v>
      </c>
      <c r="BW383" s="113" t="str">
        <f t="shared" si="3247"/>
        <v>-</v>
      </c>
      <c r="BX383" s="114">
        <f t="shared" si="3248"/>
        <v>52</v>
      </c>
      <c r="BY383" s="113">
        <f t="shared" si="3249"/>
        <v>83</v>
      </c>
      <c r="BZ383" s="114">
        <f t="shared" si="3250"/>
        <v>87</v>
      </c>
      <c r="CA383" s="113" t="str">
        <f t="shared" si="3251"/>
        <v>-</v>
      </c>
      <c r="CB383" s="114">
        <f t="shared" si="3252"/>
        <v>131</v>
      </c>
      <c r="CC383" s="113">
        <f t="shared" si="3253"/>
        <v>168</v>
      </c>
      <c r="CD383" s="114">
        <f t="shared" si="3254"/>
        <v>176</v>
      </c>
      <c r="CE383" s="113">
        <f t="shared" si="3255"/>
        <v>227</v>
      </c>
      <c r="CF383" s="114">
        <f t="shared" si="3256"/>
        <v>263</v>
      </c>
      <c r="CG383" s="113">
        <f t="shared" si="3257"/>
        <v>296</v>
      </c>
      <c r="CH383" s="111">
        <f t="shared" si="3258"/>
        <v>48</v>
      </c>
      <c r="CI383" s="113" t="str">
        <f t="shared" si="3259"/>
        <v>-</v>
      </c>
      <c r="CJ383" s="114">
        <f t="shared" si="3260"/>
        <v>81</v>
      </c>
      <c r="CK383" s="114">
        <f t="shared" si="3261"/>
        <v>86</v>
      </c>
      <c r="CL383" s="114">
        <f t="shared" si="3262"/>
        <v>122</v>
      </c>
      <c r="CM383" s="114" t="str">
        <f t="shared" si="3263"/>
        <v>-</v>
      </c>
      <c r="CN383" s="114">
        <f t="shared" si="3264"/>
        <v>157</v>
      </c>
      <c r="CO383" s="114">
        <f t="shared" si="3265"/>
        <v>170</v>
      </c>
      <c r="CP383" s="114">
        <f t="shared" si="3266"/>
        <v>213</v>
      </c>
      <c r="CQ383" s="114">
        <f t="shared" si="3267"/>
        <v>256</v>
      </c>
      <c r="CR383" s="114">
        <f t="shared" si="3268"/>
        <v>290</v>
      </c>
      <c r="CS383" s="114">
        <f t="shared" si="3269"/>
        <v>312</v>
      </c>
      <c r="CT383" s="109" t="e">
        <f t="shared" si="3270"/>
        <v>#VALUE!</v>
      </c>
    </row>
    <row r="384" spans="1:1029" s="12" customFormat="1" x14ac:dyDescent="0.2">
      <c r="A384" s="9" t="str">
        <f t="shared" ref="A384" si="3271">CONCATENATE(B384,"_",C384)</f>
        <v>sucr1_rat_6RNK</v>
      </c>
      <c r="B384" s="9" t="s">
        <v>1591</v>
      </c>
      <c r="C384" s="9" t="s">
        <v>1594</v>
      </c>
      <c r="D384" s="9" t="str">
        <f>IFERROR(MID(VLOOKUP($B384,Seqs!$A:$B,2,0),E384,1),"")</f>
        <v>C</v>
      </c>
      <c r="E384" s="9">
        <v>7</v>
      </c>
      <c r="F384" s="9" t="str">
        <f>IFERROR(MID(VLOOKUP($B384,Seqs!$A:$B,2,0),G384,1),"")</f>
        <v>M</v>
      </c>
      <c r="G384" s="9">
        <v>48</v>
      </c>
      <c r="H384" s="9" t="str">
        <f>IFERROR(MID(VLOOKUP($B384,Seqs!$A:$B,2,0),I384,1),"")</f>
        <v/>
      </c>
      <c r="I384" s="109" t="s">
        <v>23</v>
      </c>
      <c r="J384" s="9" t="str">
        <f>IFERROR(MID(VLOOKUP($B384,Seqs!$A:$B,2,0),K384,1),"")</f>
        <v/>
      </c>
      <c r="K384" s="109" t="s">
        <v>23</v>
      </c>
      <c r="L384" s="9" t="str">
        <f>IFERROR(MID(VLOOKUP($B384,Seqs!$A:$B,2,0),M384,1),"")</f>
        <v>N</v>
      </c>
      <c r="M384" s="9">
        <v>52</v>
      </c>
      <c r="N384" s="9" t="str">
        <f>IFERROR(MID(VLOOKUP($B384,Seqs!$A:$B,2,0),O384,1),"")</f>
        <v>G</v>
      </c>
      <c r="O384" s="9">
        <v>82</v>
      </c>
      <c r="P384" s="9" t="str">
        <f>IFERROR(MID(VLOOKUP($B384,Seqs!$A:$B,2,0),Q384,1),"")</f>
        <v>N</v>
      </c>
      <c r="Q384" s="9">
        <v>83</v>
      </c>
      <c r="R384" s="9" t="str">
        <f>IFERROR(MID(VLOOKUP($B384,Seqs!$A:$B,2,0),S384,1),"")</f>
        <v>Y</v>
      </c>
      <c r="S384" s="9">
        <v>86</v>
      </c>
      <c r="T384" s="9" t="str">
        <f>IFERROR(MID(VLOOKUP($B384,Seqs!$A:$B,2,0),U384,1),"")</f>
        <v>G</v>
      </c>
      <c r="U384" s="9">
        <v>87</v>
      </c>
      <c r="V384" s="9" t="str">
        <f>IFERROR(MID(VLOOKUP($B384,Seqs!$A:$B,2,0),W384,1),"")</f>
        <v>F</v>
      </c>
      <c r="W384" s="9">
        <v>122</v>
      </c>
      <c r="X384" s="9" t="str">
        <f>IFERROR(MID(VLOOKUP($B384,Seqs!$A:$B,2,0),Y384,1),"")</f>
        <v/>
      </c>
      <c r="Y384" s="9" t="s">
        <v>23</v>
      </c>
      <c r="Z384" s="9" t="str">
        <f>IFERROR(MID(VLOOKUP($B384,Seqs!$A:$B,2,0),AA384,1),"")</f>
        <v/>
      </c>
      <c r="AA384" s="9" t="s">
        <v>23</v>
      </c>
      <c r="AB384" s="9" t="str">
        <f>IFERROR(MID(VLOOKUP($B384,Seqs!$A:$B,2,0),AC384,1),"")</f>
        <v>K</v>
      </c>
      <c r="AC384" s="9">
        <v>131</v>
      </c>
      <c r="AD384" s="9" t="str">
        <f>IFERROR(MID(VLOOKUP($B384,Seqs!$A:$B,2,0),AE384,1),"")</f>
        <v>T</v>
      </c>
      <c r="AE384" s="9">
        <v>160</v>
      </c>
      <c r="AF384" s="9" t="str">
        <f>IFERROR(MID(VLOOKUP($B384,Seqs!$A:$B,2,0),AG384,1),"")</f>
        <v>C</v>
      </c>
      <c r="AG384" s="9">
        <v>168</v>
      </c>
      <c r="AH384" s="9" t="str">
        <f>IFERROR(MID(VLOOKUP($B384,Seqs!$A:$B,2,0),AI384,1),"")</f>
        <v>D</v>
      </c>
      <c r="AI384" s="9">
        <v>170</v>
      </c>
      <c r="AJ384" s="9" t="str">
        <f>IFERROR(MID(VLOOKUP($B384,Seqs!$A:$B,2,0),AK384,1),"")</f>
        <v>N</v>
      </c>
      <c r="AK384" s="9">
        <v>176</v>
      </c>
      <c r="AL384" s="9" t="str">
        <f>IFERROR(MID(VLOOKUP($B384,Seqs!$A:$B,2,0),AM384,1),"")</f>
        <v>S</v>
      </c>
      <c r="AM384" s="9">
        <v>214</v>
      </c>
      <c r="AN384" s="9" t="str">
        <f>IFERROR(MID(VLOOKUP($B384,Seqs!$A:$B,2,0),AO384,1),"")</f>
        <v>N</v>
      </c>
      <c r="AO384" s="9">
        <v>224</v>
      </c>
      <c r="AP384" s="9" t="str">
        <f>IFERROR(MID(VLOOKUP($B384,Seqs!$A:$B,2,0),AQ384,1),"")</f>
        <v>L</v>
      </c>
      <c r="AQ384" s="9">
        <v>256</v>
      </c>
      <c r="AR384" s="9" t="str">
        <f>IFERROR(MID(VLOOKUP($B384,Seqs!$A:$B,2,0),AS384,1),"")</f>
        <v>G</v>
      </c>
      <c r="AS384" s="9">
        <v>262</v>
      </c>
      <c r="AT384" s="9" t="str">
        <f>IFERROR(MID(VLOOKUP($B384,Seqs!$A:$B,2,0),AU384,1),"")</f>
        <v>Y</v>
      </c>
      <c r="AU384" s="9">
        <v>290</v>
      </c>
      <c r="AV384" s="9" t="str">
        <f>IFERROR(MID(VLOOKUP($B384,Seqs!$A:$B,2,0),AW384,1),"")</f>
        <v>H</v>
      </c>
      <c r="AW384" s="9">
        <v>296</v>
      </c>
      <c r="AX384" s="9" t="str">
        <f>IFERROR(MID(VLOOKUP($B384,Seqs!$A:$B,2,0),AY384,1),"")</f>
        <v>L</v>
      </c>
      <c r="AY384" s="9">
        <v>305</v>
      </c>
      <c r="AZ384" s="110" t="str">
        <f>VLOOKUP(B384,Classification!A:D,2,0)</f>
        <v>A</v>
      </c>
      <c r="BA384" s="98" t="str">
        <f>VLOOKUP(B384,Classification!A:D,4,0)</f>
        <v>Succinate</v>
      </c>
      <c r="BB384" s="36" t="b">
        <f t="shared" ref="BB384" si="3272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109">
        <f t="shared" ref="BC384" si="3273">_xlfn.AGGREGATE(9,6,CH384:CS384)-_xlfn.AGGREGATE(9,6,BV384:CG384)+12</f>
        <v>259</v>
      </c>
      <c r="BD384" s="40" t="s">
        <v>1369</v>
      </c>
      <c r="BE384" s="9" t="s">
        <v>1285</v>
      </c>
      <c r="BF384" s="119">
        <v>1.94</v>
      </c>
      <c r="BG384" s="51" t="s">
        <v>1</v>
      </c>
      <c r="BH384" s="51" t="s">
        <v>1</v>
      </c>
      <c r="BJ384" s="111" t="s">
        <v>1281</v>
      </c>
      <c r="BK384" s="112" t="s">
        <v>1281</v>
      </c>
      <c r="BL384" s="112" t="s">
        <v>1281</v>
      </c>
      <c r="BM384" s="112" t="s">
        <v>1281</v>
      </c>
      <c r="BN384" s="112" t="s">
        <v>1281</v>
      </c>
      <c r="BO384" s="112" t="s">
        <v>1281</v>
      </c>
      <c r="BP384" s="112" t="s">
        <v>1281</v>
      </c>
      <c r="BQ384" s="112" t="s">
        <v>1281</v>
      </c>
      <c r="BR384" s="112" t="s">
        <v>1281</v>
      </c>
      <c r="BS384" s="112" t="s">
        <v>1281</v>
      </c>
      <c r="BT384" s="112" t="s">
        <v>1281</v>
      </c>
      <c r="BU384" s="112" t="s">
        <v>1281</v>
      </c>
      <c r="BV384" s="111">
        <f t="shared" ref="BV384" si="3274">E384</f>
        <v>7</v>
      </c>
      <c r="BW384" s="113" t="str">
        <f t="shared" ref="BW384" si="3275">I384</f>
        <v>-</v>
      </c>
      <c r="BX384" s="114">
        <f t="shared" ref="BX384" si="3276">M384</f>
        <v>52</v>
      </c>
      <c r="BY384" s="113">
        <f t="shared" ref="BY384" si="3277">Q384</f>
        <v>83</v>
      </c>
      <c r="BZ384" s="114">
        <f t="shared" ref="BZ384" si="3278">U384</f>
        <v>87</v>
      </c>
      <c r="CA384" s="113" t="str">
        <f t="shared" ref="CA384" si="3279">Y384</f>
        <v>-</v>
      </c>
      <c r="CB384" s="114">
        <f t="shared" ref="CB384" si="3280">AC384</f>
        <v>131</v>
      </c>
      <c r="CC384" s="113">
        <f t="shared" ref="CC384" si="3281">AG384</f>
        <v>168</v>
      </c>
      <c r="CD384" s="114">
        <f t="shared" ref="CD384" si="3282">AK384</f>
        <v>176</v>
      </c>
      <c r="CE384" s="113">
        <f t="shared" ref="CE384" si="3283">AO384</f>
        <v>224</v>
      </c>
      <c r="CF384" s="114">
        <f t="shared" ref="CF384" si="3284">AS384</f>
        <v>262</v>
      </c>
      <c r="CG384" s="113">
        <f t="shared" ref="CG384" si="3285">AW384</f>
        <v>296</v>
      </c>
      <c r="CH384" s="111">
        <f t="shared" ref="CH384" si="3286">G384</f>
        <v>48</v>
      </c>
      <c r="CI384" s="113" t="str">
        <f t="shared" ref="CI384" si="3287">K384</f>
        <v>-</v>
      </c>
      <c r="CJ384" s="114">
        <f t="shared" ref="CJ384" si="3288">O384</f>
        <v>82</v>
      </c>
      <c r="CK384" s="114">
        <f t="shared" ref="CK384" si="3289">S384</f>
        <v>86</v>
      </c>
      <c r="CL384" s="114">
        <f t="shared" ref="CL384" si="3290">W384</f>
        <v>122</v>
      </c>
      <c r="CM384" s="114" t="str">
        <f t="shared" ref="CM384" si="3291">AA384</f>
        <v>-</v>
      </c>
      <c r="CN384" s="114">
        <f t="shared" ref="CN384" si="3292">AE384</f>
        <v>160</v>
      </c>
      <c r="CO384" s="114">
        <f t="shared" ref="CO384" si="3293">AI384</f>
        <v>170</v>
      </c>
      <c r="CP384" s="114">
        <f t="shared" ref="CP384" si="3294">AM384</f>
        <v>214</v>
      </c>
      <c r="CQ384" s="114">
        <f t="shared" ref="CQ384" si="3295">AQ384</f>
        <v>256</v>
      </c>
      <c r="CR384" s="114">
        <f t="shared" ref="CR384" si="3296">AU384</f>
        <v>290</v>
      </c>
      <c r="CS384" s="114">
        <f t="shared" ref="CS384" si="3297">AY384</f>
        <v>305</v>
      </c>
      <c r="CT384" s="109" t="e">
        <f t="shared" ref="CT384" si="3298">M384-K384</f>
        <v>#VALUE!</v>
      </c>
    </row>
    <row r="385" spans="1:1030" x14ac:dyDescent="0.2">
      <c r="A385" s="3" t="str">
        <f t="shared" si="2541"/>
        <v>us28_hcmva__wt</v>
      </c>
      <c r="B385" s="3" t="s">
        <v>917</v>
      </c>
      <c r="C385" s="3" t="s">
        <v>100</v>
      </c>
      <c r="D385" s="3" t="str">
        <f>IFERROR(MID(VLOOKUP($B385,Seqs!$A:$B,2,0),E385,1),"")</f>
        <v>F</v>
      </c>
      <c r="E385" s="105">
        <v>25</v>
      </c>
      <c r="F385" s="3" t="str">
        <f>IFERROR(MID(VLOOKUP($B385,Seqs!$A:$B,2,0),G385,1),"")</f>
        <v>R</v>
      </c>
      <c r="G385" s="3">
        <v>61</v>
      </c>
      <c r="H385" s="3" t="str">
        <f>IFERROR(MID(VLOOKUP($B385,Seqs!$A:$B,2,0),I385,1),"")</f>
        <v>R</v>
      </c>
      <c r="I385" s="23">
        <v>62</v>
      </c>
      <c r="J385" s="3" t="str">
        <f>IFERROR(MID(VLOOKUP($B385,Seqs!$A:$B,2,0),K385,1),"")</f>
        <v>Q</v>
      </c>
      <c r="K385" s="23">
        <v>65</v>
      </c>
      <c r="L385" s="3" t="str">
        <f>IFERROR(MID(VLOOKUP($B385,Seqs!$A:$B,2,0),M385,1),"")</f>
        <v>C</v>
      </c>
      <c r="M385" s="3">
        <v>66</v>
      </c>
      <c r="N385" s="3" t="str">
        <f>IFERROR(MID(VLOOKUP($B385,Seqs!$A:$B,2,0),O385,1),"")</f>
        <v>D</v>
      </c>
      <c r="O385" s="3">
        <v>95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A</v>
      </c>
      <c r="U385" s="105">
        <v>100</v>
      </c>
      <c r="V385" s="3" t="str">
        <f>IFERROR(MID(VLOOKUP($B385,Seqs!$A:$B,2,0),W385,1),"")</f>
        <v>V</v>
      </c>
      <c r="W385" s="105">
        <v>134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P</v>
      </c>
      <c r="AC385" s="9">
        <v>140</v>
      </c>
      <c r="AD385" s="3" t="str">
        <f>IFERROR(MID(VLOOKUP($B385,Seqs!$A:$B,2,0),AE385,1),"")</f>
        <v>M</v>
      </c>
      <c r="AE385" s="105">
        <v>164</v>
      </c>
      <c r="AF385" s="3" t="str">
        <f>IFERROR(MID(VLOOKUP($B385,Seqs!$A:$B,2,0),AG385,1),"")</f>
        <v>C</v>
      </c>
      <c r="AG385" s="3">
        <v>173</v>
      </c>
      <c r="AH385" s="3" t="str">
        <f>IFERROR(MID(VLOOKUP($B385,Seqs!$A:$B,2,0),AI385,1),"")</f>
        <v>T</v>
      </c>
      <c r="AI385" s="3">
        <v>175</v>
      </c>
      <c r="AJ385" s="3" t="str">
        <f>IFERROR(MID(VLOOKUP($B385,Seqs!$A:$B,2,0),AK385,1),"")</f>
        <v>S</v>
      </c>
      <c r="AK385" s="105">
        <v>183</v>
      </c>
      <c r="AL385" s="3" t="str">
        <f>IFERROR(MID(VLOOKUP($B385,Seqs!$A:$B,2,0),AM385,1),"")</f>
        <v>S</v>
      </c>
      <c r="AM385" s="3">
        <v>218</v>
      </c>
      <c r="AN385" s="3" t="str">
        <f>IFERROR(MID(VLOOKUP($B385,Seqs!$A:$B,2,0),AO385,1),"")</f>
        <v>H</v>
      </c>
      <c r="AO385" s="3">
        <v>222</v>
      </c>
      <c r="AP385" s="3" t="str">
        <f>IFERROR(MID(VLOOKUP($B385,Seqs!$A:$B,2,0),AQ385,1),"")</f>
        <v>K</v>
      </c>
      <c r="AQ385" s="3">
        <v>257</v>
      </c>
      <c r="AR385" s="3" t="str">
        <f>IFERROR(MID(VLOOKUP($B385,Seqs!$A:$B,2,0),AS385,1),"")</f>
        <v>S</v>
      </c>
      <c r="AS385" s="3">
        <v>262</v>
      </c>
      <c r="AT385" s="3" t="str">
        <f>IFERROR(MID(VLOOKUP($B385,Seqs!$A:$B,2,0),AU385,1),"")</f>
        <v>V</v>
      </c>
      <c r="AU385" s="3">
        <v>294</v>
      </c>
      <c r="AV385" s="3" t="str">
        <f>IFERROR(MID(VLOOKUP($B385,Seqs!$A:$B,2,0),AW385,1),"")</f>
        <v>G</v>
      </c>
      <c r="AW385" s="3">
        <v>295</v>
      </c>
      <c r="AX385" s="3" t="str">
        <f>IFERROR(MID(VLOOKUP($B385,Seqs!$A:$B,2,0),AY385,1),"")</f>
        <v>R</v>
      </c>
      <c r="AY385" s="3">
        <v>310</v>
      </c>
      <c r="AZ385" s="77" t="str">
        <f>VLOOKUP(B385,Classification!A:D,2,0)</f>
        <v>A</v>
      </c>
      <c r="BA385" s="94" t="str">
        <f>VLOOKUP(B385,Classification!A:D,4,0)</f>
        <v>Chemokine</v>
      </c>
      <c r="BB385" s="27" t="b">
        <f t="shared" si="2542"/>
        <v>1</v>
      </c>
      <c r="BC385" s="23">
        <f t="shared" si="2515"/>
        <v>257</v>
      </c>
      <c r="BD385" s="56" t="s">
        <v>23</v>
      </c>
      <c r="BE385" s="3" t="s">
        <v>23</v>
      </c>
      <c r="BF385" s="118" t="s">
        <v>23</v>
      </c>
      <c r="BG385" s="49" t="s">
        <v>1366</v>
      </c>
      <c r="BH385" s="49" t="s">
        <v>1371</v>
      </c>
      <c r="BI385" s="1"/>
      <c r="BJ385" s="70" t="s">
        <v>1281</v>
      </c>
      <c r="BK385" s="57" t="s">
        <v>1281</v>
      </c>
      <c r="BL385" s="57" t="s">
        <v>1281</v>
      </c>
      <c r="BM385" s="57" t="s">
        <v>1281</v>
      </c>
      <c r="BN385" s="57" t="s">
        <v>1281</v>
      </c>
      <c r="BO385" s="57" t="s">
        <v>1281</v>
      </c>
      <c r="BP385" s="57" t="s">
        <v>1281</v>
      </c>
      <c r="BQ385" s="57" t="s">
        <v>1281</v>
      </c>
      <c r="BR385" s="57" t="s">
        <v>1281</v>
      </c>
      <c r="BS385" s="57" t="s">
        <v>1281</v>
      </c>
      <c r="BT385" s="57" t="s">
        <v>1281</v>
      </c>
      <c r="BU385" s="57" t="s">
        <v>1281</v>
      </c>
      <c r="BV385" s="70">
        <f t="shared" si="2516"/>
        <v>25</v>
      </c>
      <c r="BW385" s="71">
        <f t="shared" si="2517"/>
        <v>62</v>
      </c>
      <c r="BX385" s="72">
        <f t="shared" si="2518"/>
        <v>66</v>
      </c>
      <c r="BY385" s="71" t="str">
        <f t="shared" si="2519"/>
        <v>-</v>
      </c>
      <c r="BZ385" s="72">
        <f t="shared" si="2520"/>
        <v>100</v>
      </c>
      <c r="CA385" s="71" t="str">
        <f t="shared" si="2521"/>
        <v>-</v>
      </c>
      <c r="CB385" s="72">
        <f t="shared" si="2522"/>
        <v>140</v>
      </c>
      <c r="CC385" s="71">
        <f t="shared" si="2523"/>
        <v>173</v>
      </c>
      <c r="CD385" s="72">
        <f t="shared" si="2524"/>
        <v>183</v>
      </c>
      <c r="CE385" s="71">
        <f t="shared" si="2525"/>
        <v>222</v>
      </c>
      <c r="CF385" s="72">
        <f t="shared" si="2526"/>
        <v>262</v>
      </c>
      <c r="CG385" s="71">
        <f t="shared" si="2527"/>
        <v>295</v>
      </c>
      <c r="CH385" s="70">
        <f t="shared" si="2528"/>
        <v>61</v>
      </c>
      <c r="CI385" s="71">
        <f t="shared" si="2529"/>
        <v>65</v>
      </c>
      <c r="CJ385" s="72">
        <f t="shared" si="2530"/>
        <v>95</v>
      </c>
      <c r="CK385" s="72" t="str">
        <f t="shared" si="2531"/>
        <v>-</v>
      </c>
      <c r="CL385" s="72">
        <f t="shared" si="2532"/>
        <v>134</v>
      </c>
      <c r="CM385" s="72" t="str">
        <f t="shared" si="2533"/>
        <v>-</v>
      </c>
      <c r="CN385" s="72">
        <f t="shared" si="2534"/>
        <v>164</v>
      </c>
      <c r="CO385" s="72">
        <f t="shared" si="2535"/>
        <v>175</v>
      </c>
      <c r="CP385" s="72">
        <f t="shared" si="2536"/>
        <v>218</v>
      </c>
      <c r="CQ385" s="72">
        <f t="shared" si="2537"/>
        <v>257</v>
      </c>
      <c r="CR385" s="72">
        <f t="shared" si="2538"/>
        <v>294</v>
      </c>
      <c r="CS385" s="72">
        <f t="shared" si="2539"/>
        <v>310</v>
      </c>
      <c r="CT385" s="23">
        <f t="shared" si="2540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30" x14ac:dyDescent="0.2">
      <c r="A386" s="3" t="str">
        <f t="shared" si="2541"/>
        <v>us28_hcmva_4XT1</v>
      </c>
      <c r="B386" s="3" t="s">
        <v>917</v>
      </c>
      <c r="C386" s="3" t="s">
        <v>1117</v>
      </c>
      <c r="D386" s="3" t="str">
        <f>IFERROR(MID(VLOOKUP($B386,Seqs!$A:$B,2,0),E386,1),"")</f>
        <v>F</v>
      </c>
      <c r="E386" s="105">
        <v>25</v>
      </c>
      <c r="F386" s="3" t="str">
        <f>IFERROR(MID(VLOOKUP($B386,Seqs!$A:$B,2,0),G386,1),"")</f>
        <v>R</v>
      </c>
      <c r="G386" s="3">
        <v>61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C</v>
      </c>
      <c r="M386" s="3">
        <v>66</v>
      </c>
      <c r="N386" s="3" t="str">
        <f>IFERROR(MID(VLOOKUP($B386,Seqs!$A:$B,2,0),O386,1),"")</f>
        <v>D</v>
      </c>
      <c r="O386" s="3">
        <v>95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P</v>
      </c>
      <c r="U386" s="3">
        <v>103</v>
      </c>
      <c r="V386" s="3" t="str">
        <f>IFERROR(MID(VLOOKUP($B386,Seqs!$A:$B,2,0),W386,1),"")</f>
        <v>V</v>
      </c>
      <c r="W386" s="105">
        <v>134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P</v>
      </c>
      <c r="AC386" s="9">
        <v>140</v>
      </c>
      <c r="AD386" s="3" t="str">
        <f>IFERROR(MID(VLOOKUP($B386,Seqs!$A:$B,2,0),AE386,1),"")</f>
        <v>M</v>
      </c>
      <c r="AE386" s="105">
        <v>164</v>
      </c>
      <c r="AF386" s="3" t="str">
        <f>IFERROR(MID(VLOOKUP($B386,Seqs!$A:$B,2,0),AG386,1),"")</f>
        <v>C</v>
      </c>
      <c r="AG386" s="3">
        <v>173</v>
      </c>
      <c r="AH386" s="3" t="str">
        <f>IFERROR(MID(VLOOKUP($B386,Seqs!$A:$B,2,0),AI386,1),"")</f>
        <v>T</v>
      </c>
      <c r="AI386" s="3">
        <v>175</v>
      </c>
      <c r="AJ386" s="3" t="str">
        <f>IFERROR(MID(VLOOKUP($B386,Seqs!$A:$B,2,0),AK386,1),"")</f>
        <v>S</v>
      </c>
      <c r="AK386" s="105">
        <v>183</v>
      </c>
      <c r="AL386" s="3" t="str">
        <f>IFERROR(MID(VLOOKUP($B386,Seqs!$A:$B,2,0),AM386,1),"")</f>
        <v>S</v>
      </c>
      <c r="AM386" s="3">
        <v>218</v>
      </c>
      <c r="AN386" s="3" t="str">
        <f>IFERROR(MID(VLOOKUP($B386,Seqs!$A:$B,2,0),AO386,1),"")</f>
        <v>H</v>
      </c>
      <c r="AO386" s="3">
        <v>222</v>
      </c>
      <c r="AP386" s="3" t="str">
        <f>IFERROR(MID(VLOOKUP($B386,Seqs!$A:$B,2,0),AQ386,1),"")</f>
        <v>K</v>
      </c>
      <c r="AQ386" s="3">
        <v>257</v>
      </c>
      <c r="AR386" s="3" t="str">
        <f>IFERROR(MID(VLOOKUP($B386,Seqs!$A:$B,2,0),AS386,1),"")</f>
        <v>C</v>
      </c>
      <c r="AS386" s="3">
        <v>263</v>
      </c>
      <c r="AT386" s="3" t="str">
        <f>IFERROR(MID(VLOOKUP($B386,Seqs!$A:$B,2,0),AU386,1),"")</f>
        <v>V</v>
      </c>
      <c r="AU386" s="3">
        <v>294</v>
      </c>
      <c r="AV386" s="3" t="str">
        <f>IFERROR(MID(VLOOKUP($B386,Seqs!$A:$B,2,0),AW386,1),"")</f>
        <v>G</v>
      </c>
      <c r="AW386" s="3">
        <v>295</v>
      </c>
      <c r="AX386" s="3" t="str">
        <f>IFERROR(MID(VLOOKUP($B386,Seqs!$A:$B,2,0),AY386,1),"")</f>
        <v>R</v>
      </c>
      <c r="AY386" s="3">
        <v>310</v>
      </c>
      <c r="AZ386" s="77" t="str">
        <f>VLOOKUP(B386,Classification!A:D,2,0)</f>
        <v>A</v>
      </c>
      <c r="BA386" s="94" t="str">
        <f>VLOOKUP(B386,Classification!A:D,4,0)</f>
        <v>Chemokine</v>
      </c>
      <c r="BB386" s="27" t="b">
        <f t="shared" si="2542"/>
        <v>1</v>
      </c>
      <c r="BC386" s="23">
        <f t="shared" si="2515"/>
        <v>250</v>
      </c>
      <c r="BD386" s="4" t="s">
        <v>23</v>
      </c>
      <c r="BE386" s="3" t="s">
        <v>1285</v>
      </c>
      <c r="BF386" s="118">
        <v>2.89</v>
      </c>
      <c r="BG386" s="49" t="s">
        <v>1371</v>
      </c>
      <c r="BH386" s="49" t="s">
        <v>1371</v>
      </c>
      <c r="BI386" s="1"/>
      <c r="BJ386" s="70" t="s">
        <v>1281</v>
      </c>
      <c r="BK386" s="57" t="s">
        <v>1281</v>
      </c>
      <c r="BL386" s="57" t="s">
        <v>1281</v>
      </c>
      <c r="BM386" s="57" t="s">
        <v>1281</v>
      </c>
      <c r="BN386" s="57" t="s">
        <v>1281</v>
      </c>
      <c r="BO386" s="57" t="s">
        <v>1281</v>
      </c>
      <c r="BP386" s="57" t="s">
        <v>1281</v>
      </c>
      <c r="BQ386" s="57" t="s">
        <v>1281</v>
      </c>
      <c r="BR386" s="57" t="s">
        <v>1281</v>
      </c>
      <c r="BS386" s="57" t="s">
        <v>1281</v>
      </c>
      <c r="BT386" s="57" t="s">
        <v>1281</v>
      </c>
      <c r="BU386" s="57" t="s">
        <v>1281</v>
      </c>
      <c r="BV386" s="70">
        <f t="shared" si="2516"/>
        <v>25</v>
      </c>
      <c r="BW386" s="71" t="str">
        <f t="shared" si="2517"/>
        <v>-</v>
      </c>
      <c r="BX386" s="72">
        <f t="shared" si="2518"/>
        <v>66</v>
      </c>
      <c r="BY386" s="71" t="str">
        <f t="shared" si="2519"/>
        <v>-</v>
      </c>
      <c r="BZ386" s="72">
        <f t="shared" si="2520"/>
        <v>103</v>
      </c>
      <c r="CA386" s="71" t="str">
        <f t="shared" si="2521"/>
        <v>-</v>
      </c>
      <c r="CB386" s="72">
        <f t="shared" si="2522"/>
        <v>140</v>
      </c>
      <c r="CC386" s="71">
        <f t="shared" si="2523"/>
        <v>173</v>
      </c>
      <c r="CD386" s="72">
        <f t="shared" si="2524"/>
        <v>183</v>
      </c>
      <c r="CE386" s="71">
        <f t="shared" si="2525"/>
        <v>222</v>
      </c>
      <c r="CF386" s="72">
        <f t="shared" si="2526"/>
        <v>263</v>
      </c>
      <c r="CG386" s="71">
        <f t="shared" si="2527"/>
        <v>295</v>
      </c>
      <c r="CH386" s="70">
        <f t="shared" si="2528"/>
        <v>61</v>
      </c>
      <c r="CI386" s="71" t="str">
        <f t="shared" si="2529"/>
        <v>-</v>
      </c>
      <c r="CJ386" s="72">
        <f t="shared" si="2530"/>
        <v>95</v>
      </c>
      <c r="CK386" s="72" t="str">
        <f t="shared" si="2531"/>
        <v>-</v>
      </c>
      <c r="CL386" s="72">
        <f t="shared" si="2532"/>
        <v>134</v>
      </c>
      <c r="CM386" s="72" t="str">
        <f t="shared" si="2533"/>
        <v>-</v>
      </c>
      <c r="CN386" s="72">
        <f t="shared" si="2534"/>
        <v>164</v>
      </c>
      <c r="CO386" s="72">
        <f t="shared" si="2535"/>
        <v>175</v>
      </c>
      <c r="CP386" s="72">
        <f t="shared" si="2536"/>
        <v>218</v>
      </c>
      <c r="CQ386" s="72">
        <f t="shared" si="2537"/>
        <v>257</v>
      </c>
      <c r="CR386" s="72">
        <f t="shared" si="2538"/>
        <v>294</v>
      </c>
      <c r="CS386" s="72">
        <f t="shared" si="2539"/>
        <v>310</v>
      </c>
      <c r="CT386" s="23" t="e">
        <f t="shared" si="2540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 t="shared" si="2541"/>
        <v>us28_hcmva_4XT3</v>
      </c>
      <c r="B387" s="2" t="s">
        <v>917</v>
      </c>
      <c r="C387" s="3" t="s">
        <v>1365</v>
      </c>
      <c r="D387" s="3" t="str">
        <f>IFERROR(MID(VLOOKUP($B387,Seqs!$A:$B,2,0),E387,1),"")</f>
        <v>F</v>
      </c>
      <c r="E387" s="105">
        <v>25</v>
      </c>
      <c r="F387" s="3" t="str">
        <f>IFERROR(MID(VLOOKUP($B387,Seqs!$A:$B,2,0),G387,1),"")</f>
        <v>R</v>
      </c>
      <c r="G387" s="105">
        <v>62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C</v>
      </c>
      <c r="M387" s="3">
        <v>66</v>
      </c>
      <c r="N387" s="3" t="str">
        <f>IFERROR(MID(VLOOKUP($B387,Seqs!$A:$B,2,0),O387,1),"")</f>
        <v>D</v>
      </c>
      <c r="O387" s="3">
        <v>95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P</v>
      </c>
      <c r="U387" s="3">
        <v>103</v>
      </c>
      <c r="V387" s="3" t="str">
        <f>IFERROR(MID(VLOOKUP($B387,Seqs!$A:$B,2,0),W387,1),"")</f>
        <v>V</v>
      </c>
      <c r="W387" s="105">
        <v>134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P</v>
      </c>
      <c r="AC387" s="9">
        <v>140</v>
      </c>
      <c r="AD387" s="3" t="str">
        <f>IFERROR(MID(VLOOKUP($B387,Seqs!$A:$B,2,0),AE387,1),"")</f>
        <v>M</v>
      </c>
      <c r="AE387" s="105">
        <v>164</v>
      </c>
      <c r="AF387" s="3" t="str">
        <f>IFERROR(MID(VLOOKUP($B387,Seqs!$A:$B,2,0),AG387,1),"")</f>
        <v>C</v>
      </c>
      <c r="AG387" s="3">
        <v>173</v>
      </c>
      <c r="AH387" s="3" t="str">
        <f>IFERROR(MID(VLOOKUP($B387,Seqs!$A:$B,2,0),AI387,1),"")</f>
        <v>T</v>
      </c>
      <c r="AI387" s="3">
        <v>175</v>
      </c>
      <c r="AJ387" s="3" t="str">
        <f>IFERROR(MID(VLOOKUP($B387,Seqs!$A:$B,2,0),AK387,1),"")</f>
        <v>S</v>
      </c>
      <c r="AK387" s="105">
        <v>183</v>
      </c>
      <c r="AL387" s="3" t="str">
        <f>IFERROR(MID(VLOOKUP($B387,Seqs!$A:$B,2,0),AM387,1),"")</f>
        <v>S</v>
      </c>
      <c r="AM387" s="3">
        <v>218</v>
      </c>
      <c r="AN387" s="3" t="str">
        <f>IFERROR(MID(VLOOKUP($B387,Seqs!$A:$B,2,0),AO387,1),"")</f>
        <v>H</v>
      </c>
      <c r="AO387" s="3">
        <v>222</v>
      </c>
      <c r="AP387" s="3" t="str">
        <f>IFERROR(MID(VLOOKUP($B387,Seqs!$A:$B,2,0),AQ387,1),"")</f>
        <v>K</v>
      </c>
      <c r="AQ387" s="3">
        <v>257</v>
      </c>
      <c r="AR387" s="3" t="str">
        <f>IFERROR(MID(VLOOKUP($B387,Seqs!$A:$B,2,0),AS387,1),"")</f>
        <v>C</v>
      </c>
      <c r="AS387" s="3">
        <v>263</v>
      </c>
      <c r="AT387" s="3" t="str">
        <f>IFERROR(MID(VLOOKUP($B387,Seqs!$A:$B,2,0),AU387,1),"")</f>
        <v>V</v>
      </c>
      <c r="AU387" s="3">
        <v>294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Chemokine</v>
      </c>
      <c r="BB387" s="27" t="b">
        <f t="shared" ref="BB387:BB395" si="3299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:BC395" si="3300">_xlfn.AGGREGATE(9,6,CH387:CS387)-_xlfn.AGGREGATE(9,6,BV387:CG387)+12</f>
        <v>236</v>
      </c>
      <c r="BD387" s="4" t="s">
        <v>23</v>
      </c>
      <c r="BE387" s="3" t="s">
        <v>1285</v>
      </c>
      <c r="BF387" s="118">
        <v>3.8</v>
      </c>
      <c r="BG387" s="49" t="s">
        <v>1371</v>
      </c>
      <c r="BH387" s="49" t="s">
        <v>1371</v>
      </c>
      <c r="BI387" s="1"/>
      <c r="BJ387" s="70" t="s">
        <v>1281</v>
      </c>
      <c r="BK387" s="57" t="s">
        <v>1281</v>
      </c>
      <c r="BL387" s="57" t="s">
        <v>1281</v>
      </c>
      <c r="BM387" s="57" t="s">
        <v>1281</v>
      </c>
      <c r="BN387" s="57" t="s">
        <v>1281</v>
      </c>
      <c r="BO387" s="57" t="s">
        <v>1281</v>
      </c>
      <c r="BP387" s="57" t="s">
        <v>1281</v>
      </c>
      <c r="BQ387" s="57" t="s">
        <v>1281</v>
      </c>
      <c r="BR387" s="57" t="s">
        <v>1281</v>
      </c>
      <c r="BS387" s="57" t="s">
        <v>1281</v>
      </c>
      <c r="BT387" s="57" t="s">
        <v>1281</v>
      </c>
      <c r="BU387" s="57" t="s">
        <v>1281</v>
      </c>
      <c r="BV387" s="70">
        <f t="shared" ref="BV387:BV395" si="3301">E387</f>
        <v>25</v>
      </c>
      <c r="BW387" s="71" t="str">
        <f t="shared" ref="BW387:BW395" si="3302">I387</f>
        <v>-</v>
      </c>
      <c r="BX387" s="72">
        <f t="shared" ref="BX387:BX395" si="3303">M387</f>
        <v>66</v>
      </c>
      <c r="BY387" s="71" t="str">
        <f t="shared" ref="BY387:BY395" si="3304">Q387</f>
        <v>-</v>
      </c>
      <c r="BZ387" s="72">
        <f t="shared" ref="BZ387:BZ395" si="3305">U387</f>
        <v>103</v>
      </c>
      <c r="CA387" s="71" t="str">
        <f t="shared" ref="CA387:CA395" si="3306">Y387</f>
        <v>-</v>
      </c>
      <c r="CB387" s="72">
        <f t="shared" ref="CB387:CB395" si="3307">AC387</f>
        <v>140</v>
      </c>
      <c r="CC387" s="71">
        <f t="shared" ref="CC387:CC395" si="3308">AG387</f>
        <v>173</v>
      </c>
      <c r="CD387" s="72">
        <f t="shared" ref="CD387:CD395" si="3309">AK387</f>
        <v>183</v>
      </c>
      <c r="CE387" s="71">
        <f t="shared" ref="CE387:CE395" si="3310">AO387</f>
        <v>222</v>
      </c>
      <c r="CF387" s="72">
        <f t="shared" ref="CF387:CF395" si="3311">AS387</f>
        <v>263</v>
      </c>
      <c r="CG387" s="71" t="str">
        <f t="shared" ref="CG387:CG395" si="3312">AW387</f>
        <v>-</v>
      </c>
      <c r="CH387" s="70">
        <f t="shared" ref="CH387:CH395" si="3313">G387</f>
        <v>62</v>
      </c>
      <c r="CI387" s="71" t="str">
        <f t="shared" ref="CI387:CI395" si="3314">K387</f>
        <v>-</v>
      </c>
      <c r="CJ387" s="72">
        <f t="shared" ref="CJ387:CJ395" si="3315">O387</f>
        <v>95</v>
      </c>
      <c r="CK387" s="72" t="str">
        <f t="shared" ref="CK387:CK395" si="3316">S387</f>
        <v>-</v>
      </c>
      <c r="CL387" s="72">
        <f t="shared" ref="CL387:CL395" si="3317">W387</f>
        <v>134</v>
      </c>
      <c r="CM387" s="72" t="str">
        <f t="shared" ref="CM387:CM395" si="3318">AA387</f>
        <v>-</v>
      </c>
      <c r="CN387" s="72">
        <f t="shared" ref="CN387:CN395" si="3319">AE387</f>
        <v>164</v>
      </c>
      <c r="CO387" s="72">
        <f t="shared" ref="CO387:CO395" si="3320">AI387</f>
        <v>175</v>
      </c>
      <c r="CP387" s="72">
        <f t="shared" ref="CP387:CP395" si="3321">AM387</f>
        <v>218</v>
      </c>
      <c r="CQ387" s="72">
        <f t="shared" ref="CQ387:CQ395" si="3322">AQ387</f>
        <v>257</v>
      </c>
      <c r="CR387" s="72">
        <f t="shared" ref="CR387:CR395" si="3323">AU387</f>
        <v>294</v>
      </c>
      <c r="CS387" s="72" t="str">
        <f t="shared" ref="CS387:CS395" si="3324">AY387</f>
        <v>-</v>
      </c>
      <c r="CT387" s="23" t="e">
        <f t="shared" ref="CT387:CT395" si="3325">M387-K387</f>
        <v>#VALUE!</v>
      </c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6"/>
      <c r="ACQ387" s="6"/>
      <c r="ACR387" s="6"/>
      <c r="ACS387" s="6"/>
      <c r="ACT387" s="6"/>
      <c r="ACU387" s="6"/>
      <c r="ACV387" s="6"/>
      <c r="ACW387" s="6"/>
      <c r="ACX387" s="6"/>
      <c r="ACY387" s="6"/>
      <c r="ACZ387" s="6"/>
      <c r="ADA387" s="6"/>
      <c r="ADB387" s="6"/>
      <c r="ADC387" s="6"/>
      <c r="ADD387" s="6"/>
      <c r="ADE387" s="6"/>
      <c r="ADF387" s="6"/>
      <c r="ADG387" s="6"/>
      <c r="ADH387" s="6"/>
      <c r="ADI387" s="6"/>
      <c r="ADJ387" s="6"/>
      <c r="ADK387" s="6"/>
      <c r="ADL387" s="6"/>
      <c r="ADM387" s="6"/>
      <c r="ADN387" s="6"/>
      <c r="ADO387" s="6"/>
      <c r="ADP387" s="6"/>
      <c r="ADQ387" s="6"/>
      <c r="ADR387" s="6"/>
      <c r="ADS387" s="6"/>
      <c r="ADT387" s="6"/>
      <c r="ADU387" s="6"/>
      <c r="ADV387" s="6"/>
      <c r="ADW387" s="6"/>
      <c r="ADX387" s="6"/>
      <c r="ADY387" s="6"/>
      <c r="ADZ387" s="6"/>
      <c r="AEA387" s="6"/>
      <c r="AEB387" s="6"/>
      <c r="AEC387" s="6"/>
      <c r="AED387" s="6"/>
      <c r="AEE387" s="6"/>
      <c r="AEF387" s="6"/>
      <c r="AEG387" s="6"/>
      <c r="AEH387" s="6"/>
      <c r="AEI387" s="6"/>
      <c r="AEJ387" s="6"/>
      <c r="AEK387" s="6"/>
      <c r="AEL387" s="6"/>
      <c r="AEM387" s="6"/>
      <c r="AEN387" s="6"/>
      <c r="AEO387" s="6"/>
      <c r="AEP387" s="6"/>
      <c r="AEQ387" s="6"/>
      <c r="AER387" s="6"/>
      <c r="AES387" s="6"/>
      <c r="AET387" s="6"/>
      <c r="AEU387" s="6"/>
      <c r="AEV387" s="6"/>
      <c r="AEW387" s="6"/>
      <c r="AEX387" s="6"/>
      <c r="AEY387" s="6"/>
      <c r="AEZ387" s="6"/>
      <c r="AFA387" s="6"/>
      <c r="AFB387" s="6"/>
      <c r="AFC387" s="6"/>
      <c r="AFD387" s="6"/>
      <c r="AFE387" s="6"/>
      <c r="AFF387" s="6"/>
      <c r="AFG387" s="6"/>
      <c r="AFH387" s="6"/>
      <c r="AFI387" s="6"/>
      <c r="AFJ387" s="6"/>
      <c r="AFK387" s="6"/>
      <c r="AFL387" s="6"/>
      <c r="AFM387" s="6"/>
      <c r="AFN387" s="6"/>
      <c r="AFO387" s="6"/>
      <c r="AFP387" s="6"/>
      <c r="AFQ387" s="6"/>
      <c r="AFR387" s="6"/>
      <c r="AFS387" s="6"/>
      <c r="AFT387" s="6"/>
      <c r="AFU387" s="6"/>
      <c r="AFV387" s="6"/>
      <c r="AFW387" s="6"/>
      <c r="AFX387" s="6"/>
      <c r="AFY387" s="6"/>
      <c r="AFZ387" s="6"/>
      <c r="AGA387" s="6"/>
      <c r="AGB387" s="6"/>
      <c r="AGC387" s="6"/>
      <c r="AGD387" s="6"/>
      <c r="AGE387" s="6"/>
      <c r="AGF387" s="6"/>
      <c r="AGG387" s="6"/>
      <c r="AGH387" s="6"/>
      <c r="AGI387" s="6"/>
      <c r="AGJ387" s="6"/>
      <c r="AGK387" s="6"/>
      <c r="AGL387" s="6"/>
      <c r="AGM387" s="6"/>
      <c r="AGN387" s="6"/>
      <c r="AGO387" s="6"/>
      <c r="AGP387" s="6"/>
      <c r="AGQ387" s="6"/>
      <c r="AGR387" s="6"/>
      <c r="AGS387" s="6"/>
      <c r="AGT387" s="6"/>
      <c r="AGU387" s="6"/>
      <c r="AGV387" s="6"/>
      <c r="AGW387" s="6"/>
      <c r="AGX387" s="6"/>
      <c r="AGY387" s="6"/>
      <c r="AGZ387" s="6"/>
      <c r="AHA387" s="6"/>
      <c r="AHB387" s="6"/>
      <c r="AHC387" s="6"/>
      <c r="AHD387" s="6"/>
      <c r="AHE387" s="6"/>
      <c r="AHF387" s="6"/>
      <c r="AHG387" s="6"/>
      <c r="AHH387" s="6"/>
      <c r="AHI387" s="6"/>
      <c r="AHJ387" s="6"/>
      <c r="AHK387" s="6"/>
      <c r="AHL387" s="6"/>
      <c r="AHM387" s="6"/>
      <c r="AHN387" s="6"/>
      <c r="AHO387" s="6"/>
      <c r="AHP387" s="6"/>
      <c r="AHQ387" s="6"/>
      <c r="AHR387" s="6"/>
      <c r="AHS387" s="6"/>
      <c r="AHT387" s="6"/>
      <c r="AHU387" s="6"/>
      <c r="AHV387" s="6"/>
      <c r="AHW387" s="6"/>
      <c r="AHX387" s="6"/>
      <c r="AHY387" s="6"/>
      <c r="AHZ387" s="6"/>
      <c r="AIA387" s="6"/>
      <c r="AIB387" s="6"/>
      <c r="AIC387" s="6"/>
      <c r="AID387" s="6"/>
      <c r="AIE387" s="6"/>
      <c r="AIF387" s="6"/>
      <c r="AIG387" s="6"/>
      <c r="AIH387" s="6"/>
      <c r="AII387" s="6"/>
      <c r="AIJ387" s="6"/>
      <c r="AIK387" s="6"/>
      <c r="AIL387" s="6"/>
      <c r="AIM387" s="6"/>
      <c r="AIN387" s="6"/>
      <c r="AIO387" s="6"/>
      <c r="AIP387" s="6"/>
      <c r="AIQ387" s="6"/>
      <c r="AIR387" s="6"/>
      <c r="AIS387" s="6"/>
      <c r="AIT387" s="6"/>
      <c r="AIU387" s="6"/>
      <c r="AIV387" s="6"/>
      <c r="AIW387" s="6"/>
      <c r="AIX387" s="6"/>
      <c r="AIY387" s="6"/>
      <c r="AIZ387" s="6"/>
      <c r="AJA387" s="6"/>
      <c r="AJB387" s="6"/>
      <c r="AJC387" s="6"/>
      <c r="AJD387" s="6"/>
      <c r="AJE387" s="6"/>
      <c r="AJF387" s="6"/>
      <c r="AJG387" s="6"/>
      <c r="AJH387" s="6"/>
      <c r="AJI387" s="6"/>
      <c r="AJJ387" s="6"/>
      <c r="AJK387" s="6"/>
      <c r="AJL387" s="6"/>
      <c r="AJM387" s="6"/>
      <c r="AJN387" s="6"/>
      <c r="AJO387" s="6"/>
      <c r="AJP387" s="6"/>
      <c r="AJQ387" s="6"/>
      <c r="AJR387" s="6"/>
      <c r="AJS387" s="6"/>
      <c r="AJT387" s="6"/>
      <c r="AJU387" s="6"/>
      <c r="AJV387" s="6"/>
      <c r="AJW387" s="6"/>
      <c r="AJX387" s="6"/>
      <c r="AJY387" s="6"/>
      <c r="AJZ387" s="6"/>
      <c r="AKA387" s="6"/>
      <c r="AKB387" s="6"/>
      <c r="AKC387" s="6"/>
      <c r="AKD387" s="6"/>
      <c r="AKE387" s="6"/>
      <c r="AKF387" s="6"/>
      <c r="AKG387" s="6"/>
      <c r="AKH387" s="6"/>
      <c r="AKI387" s="6"/>
      <c r="AKJ387" s="6"/>
      <c r="AKK387" s="6"/>
      <c r="AKL387" s="6"/>
      <c r="AKM387" s="6"/>
      <c r="AKN387" s="6"/>
      <c r="AKO387" s="6"/>
      <c r="AKP387" s="6"/>
      <c r="AKQ387" s="6"/>
      <c r="AKR387" s="6"/>
      <c r="AKS387" s="6"/>
      <c r="AKT387" s="6"/>
      <c r="AKU387" s="6"/>
      <c r="AKV387" s="6"/>
      <c r="AKW387" s="6"/>
      <c r="AKX387" s="6"/>
      <c r="AKY387" s="6"/>
      <c r="AKZ387" s="6"/>
      <c r="ALA387" s="6"/>
      <c r="ALB387" s="6"/>
      <c r="ALC387" s="6"/>
      <c r="ALD387" s="6"/>
      <c r="ALE387" s="6"/>
      <c r="ALF387" s="6"/>
      <c r="ALG387" s="6"/>
      <c r="ALH387" s="6"/>
      <c r="ALI387" s="6"/>
      <c r="ALJ387" s="6"/>
      <c r="ALK387" s="6"/>
      <c r="ALL387" s="6"/>
      <c r="ALM387" s="6"/>
      <c r="ALN387" s="6"/>
      <c r="ALO387" s="6"/>
      <c r="ALP387" s="6"/>
      <c r="ALQ387" s="6"/>
      <c r="ALR387" s="6"/>
      <c r="ALS387" s="6"/>
      <c r="ALT387" s="6"/>
      <c r="ALU387" s="6"/>
      <c r="ALV387" s="6"/>
      <c r="ALW387" s="6"/>
      <c r="ALX387" s="6"/>
      <c r="ALY387" s="6"/>
      <c r="ALZ387" s="6"/>
      <c r="AMA387" s="6"/>
      <c r="AMB387" s="6"/>
      <c r="AMC387" s="6"/>
      <c r="AMD387" s="6"/>
      <c r="AME387" s="6"/>
      <c r="AMF387" s="6"/>
      <c r="AMG387" s="6"/>
      <c r="AMH387" s="6"/>
      <c r="AMI387" s="6"/>
      <c r="AMJ387" s="6"/>
      <c r="AMK387" s="6"/>
      <c r="AML387" s="6"/>
      <c r="AMM387" s="6"/>
      <c r="AMN387" s="6"/>
      <c r="AMO387" s="6"/>
      <c r="AMP387" s="6"/>
    </row>
    <row r="388" spans="1:1030" x14ac:dyDescent="0.2">
      <c r="A388" s="9" t="str">
        <f t="shared" ref="A388:A398" si="3326">CONCATENATE(B388,"_",C388)</f>
        <v>q80km9_hcmv__wt</v>
      </c>
      <c r="B388" s="40" t="s">
        <v>1501</v>
      </c>
      <c r="C388" s="9" t="s">
        <v>100</v>
      </c>
      <c r="D388" s="9" t="str">
        <f>IFERROR(MID(VLOOKUP($B388,Seqs!$A:$B,2,0),E388,1),"")</f>
        <v>F</v>
      </c>
      <c r="E388" s="9">
        <v>25</v>
      </c>
      <c r="F388" s="9" t="str">
        <f>IFERROR(MID(VLOOKUP($B388,Seqs!$A:$B,2,0),G388,1),"")</f>
        <v>R</v>
      </c>
      <c r="G388" s="9">
        <v>61</v>
      </c>
      <c r="H388" s="9" t="str">
        <f>IFERROR(MID(VLOOKUP($B388,Seqs!$A:$B,2,0),I388,1),"")</f>
        <v>R</v>
      </c>
      <c r="I388" s="109">
        <v>62</v>
      </c>
      <c r="J388" s="9" t="str">
        <f>IFERROR(MID(VLOOKUP($B388,Seqs!$A:$B,2,0),K388,1),"")</f>
        <v>Q</v>
      </c>
      <c r="K388" s="109">
        <v>65</v>
      </c>
      <c r="L388" s="9" t="str">
        <f>IFERROR(MID(VLOOKUP($B388,Seqs!$A:$B,2,0),M388,1),"")</f>
        <v>C</v>
      </c>
      <c r="M388" s="9">
        <v>66</v>
      </c>
      <c r="N388" s="9" t="str">
        <f>IFERROR(MID(VLOOKUP($B388,Seqs!$A:$B,2,0),O388,1),"")</f>
        <v>D</v>
      </c>
      <c r="O388" s="9">
        <v>95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A</v>
      </c>
      <c r="U388" s="9">
        <v>100</v>
      </c>
      <c r="V388" s="9" t="str">
        <f>IFERROR(MID(VLOOKUP($B388,Seqs!$A:$B,2,0),W388,1),"")</f>
        <v>V</v>
      </c>
      <c r="W388" s="9">
        <v>134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P</v>
      </c>
      <c r="AC388" s="9">
        <v>140</v>
      </c>
      <c r="AD388" s="9" t="str">
        <f>IFERROR(MID(VLOOKUP($B388,Seqs!$A:$B,2,0),AE388,1),"")</f>
        <v>M</v>
      </c>
      <c r="AE388" s="9">
        <v>164</v>
      </c>
      <c r="AF388" s="9" t="str">
        <f>IFERROR(MID(VLOOKUP($B388,Seqs!$A:$B,2,0),AG388,1),"")</f>
        <v>C</v>
      </c>
      <c r="AG388" s="9">
        <v>173</v>
      </c>
      <c r="AH388" s="9" t="str">
        <f>IFERROR(MID(VLOOKUP($B388,Seqs!$A:$B,2,0),AI388,1),"")</f>
        <v>T</v>
      </c>
      <c r="AI388" s="9">
        <v>175</v>
      </c>
      <c r="AJ388" s="9" t="str">
        <f>IFERROR(MID(VLOOKUP($B388,Seqs!$A:$B,2,0),AK388,1),"")</f>
        <v>S</v>
      </c>
      <c r="AK388" s="9">
        <v>183</v>
      </c>
      <c r="AL388" s="9" t="str">
        <f>IFERROR(MID(VLOOKUP($B388,Seqs!$A:$B,2,0),AM388,1),"")</f>
        <v>S</v>
      </c>
      <c r="AM388" s="9">
        <v>218</v>
      </c>
      <c r="AN388" s="9" t="str">
        <f>IFERROR(MID(VLOOKUP($B388,Seqs!$A:$B,2,0),AO388,1),"")</f>
        <v>H</v>
      </c>
      <c r="AO388" s="9">
        <v>222</v>
      </c>
      <c r="AP388" s="9" t="str">
        <f>IFERROR(MID(VLOOKUP($B388,Seqs!$A:$B,2,0),AQ388,1),"")</f>
        <v>K</v>
      </c>
      <c r="AQ388" s="9">
        <v>257</v>
      </c>
      <c r="AR388" s="9" t="str">
        <f>IFERROR(MID(VLOOKUP($B388,Seqs!$A:$B,2,0),AS388,1),"")</f>
        <v>S</v>
      </c>
      <c r="AS388" s="9">
        <v>262</v>
      </c>
      <c r="AT388" s="9" t="str">
        <f>IFERROR(MID(VLOOKUP($B388,Seqs!$A:$B,2,0),AU388,1),"")</f>
        <v>V</v>
      </c>
      <c r="AU388" s="9">
        <v>294</v>
      </c>
      <c r="AV388" s="9" t="str">
        <f>IFERROR(MID(VLOOKUP($B388,Seqs!$A:$B,2,0),AW388,1),"")</f>
        <v>G</v>
      </c>
      <c r="AW388" s="9">
        <v>295</v>
      </c>
      <c r="AX388" s="9" t="str">
        <f>IFERROR(MID(VLOOKUP($B388,Seqs!$A:$B,2,0),AY388,1),"")</f>
        <v>R</v>
      </c>
      <c r="AY388" s="9">
        <v>310</v>
      </c>
      <c r="AZ388" s="110" t="str">
        <f>VLOOKUP(B388,Classification!A:D,2,0)</f>
        <v>A</v>
      </c>
      <c r="BA388" s="98" t="str">
        <f>VLOOKUP(B388,Classification!A:D,4,0)</f>
        <v>Chemokine</v>
      </c>
      <c r="BB388" s="36" t="b">
        <f t="shared" si="3299"/>
        <v>1</v>
      </c>
      <c r="BC388" s="109">
        <f t="shared" si="3300"/>
        <v>257</v>
      </c>
      <c r="BD388" s="11" t="s">
        <v>23</v>
      </c>
      <c r="BE388" s="9" t="s">
        <v>23</v>
      </c>
      <c r="BF388" s="119" t="s">
        <v>23</v>
      </c>
      <c r="BG388" s="51" t="s">
        <v>1371</v>
      </c>
      <c r="BH388" s="51" t="s">
        <v>1371</v>
      </c>
      <c r="BI388" s="12"/>
      <c r="BJ388" s="111" t="s">
        <v>1281</v>
      </c>
      <c r="BK388" s="112" t="s">
        <v>1281</v>
      </c>
      <c r="BL388" s="112" t="s">
        <v>1281</v>
      </c>
      <c r="BM388" s="112" t="s">
        <v>1281</v>
      </c>
      <c r="BN388" s="112" t="s">
        <v>1281</v>
      </c>
      <c r="BO388" s="112" t="s">
        <v>1281</v>
      </c>
      <c r="BP388" s="112" t="s">
        <v>1281</v>
      </c>
      <c r="BQ388" s="112" t="s">
        <v>1281</v>
      </c>
      <c r="BR388" s="112" t="s">
        <v>1281</v>
      </c>
      <c r="BS388" s="112" t="s">
        <v>1281</v>
      </c>
      <c r="BT388" s="112" t="s">
        <v>1281</v>
      </c>
      <c r="BU388" s="112" t="s">
        <v>1281</v>
      </c>
      <c r="BV388" s="111">
        <f t="shared" si="3301"/>
        <v>25</v>
      </c>
      <c r="BW388" s="113">
        <f t="shared" si="3302"/>
        <v>62</v>
      </c>
      <c r="BX388" s="114">
        <f t="shared" si="3303"/>
        <v>66</v>
      </c>
      <c r="BY388" s="113" t="str">
        <f t="shared" si="3304"/>
        <v>-</v>
      </c>
      <c r="BZ388" s="114">
        <f t="shared" si="3305"/>
        <v>100</v>
      </c>
      <c r="CA388" s="113" t="str">
        <f t="shared" si="3306"/>
        <v>-</v>
      </c>
      <c r="CB388" s="114">
        <f t="shared" si="3307"/>
        <v>140</v>
      </c>
      <c r="CC388" s="113">
        <f t="shared" si="3308"/>
        <v>173</v>
      </c>
      <c r="CD388" s="114">
        <f t="shared" si="3309"/>
        <v>183</v>
      </c>
      <c r="CE388" s="113">
        <f t="shared" si="3310"/>
        <v>222</v>
      </c>
      <c r="CF388" s="114">
        <f t="shared" si="3311"/>
        <v>262</v>
      </c>
      <c r="CG388" s="113">
        <f t="shared" si="3312"/>
        <v>295</v>
      </c>
      <c r="CH388" s="111">
        <f t="shared" si="3313"/>
        <v>61</v>
      </c>
      <c r="CI388" s="113">
        <f t="shared" si="3314"/>
        <v>65</v>
      </c>
      <c r="CJ388" s="114">
        <f t="shared" si="3315"/>
        <v>95</v>
      </c>
      <c r="CK388" s="114" t="str">
        <f t="shared" si="3316"/>
        <v>-</v>
      </c>
      <c r="CL388" s="114">
        <f t="shared" si="3317"/>
        <v>134</v>
      </c>
      <c r="CM388" s="114" t="str">
        <f t="shared" si="3318"/>
        <v>-</v>
      </c>
      <c r="CN388" s="114">
        <f t="shared" si="3319"/>
        <v>164</v>
      </c>
      <c r="CO388" s="114">
        <f t="shared" si="3320"/>
        <v>175</v>
      </c>
      <c r="CP388" s="114">
        <f t="shared" si="3321"/>
        <v>218</v>
      </c>
      <c r="CQ388" s="114">
        <f t="shared" si="3322"/>
        <v>257</v>
      </c>
      <c r="CR388" s="114">
        <f t="shared" si="3323"/>
        <v>294</v>
      </c>
      <c r="CS388" s="114">
        <f t="shared" si="3324"/>
        <v>310</v>
      </c>
      <c r="CT388" s="109">
        <f t="shared" si="3325"/>
        <v>1</v>
      </c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6"/>
      <c r="ACQ388" s="6"/>
      <c r="ACR388" s="6"/>
      <c r="ACS388" s="6"/>
      <c r="ACT388" s="6"/>
      <c r="ACU388" s="6"/>
      <c r="ACV388" s="6"/>
      <c r="ACW388" s="6"/>
      <c r="ACX388" s="6"/>
      <c r="ACY388" s="6"/>
      <c r="ACZ388" s="6"/>
      <c r="ADA388" s="6"/>
      <c r="ADB388" s="6"/>
      <c r="ADC388" s="6"/>
      <c r="ADD388" s="6"/>
      <c r="ADE388" s="6"/>
      <c r="ADF388" s="6"/>
      <c r="ADG388" s="6"/>
      <c r="ADH388" s="6"/>
      <c r="ADI388" s="6"/>
      <c r="ADJ388" s="6"/>
      <c r="ADK388" s="6"/>
      <c r="ADL388" s="6"/>
      <c r="ADM388" s="6"/>
      <c r="ADN388" s="6"/>
      <c r="ADO388" s="6"/>
      <c r="ADP388" s="6"/>
      <c r="ADQ388" s="6"/>
      <c r="ADR388" s="6"/>
      <c r="ADS388" s="6"/>
      <c r="ADT388" s="6"/>
      <c r="ADU388" s="6"/>
      <c r="ADV388" s="6"/>
      <c r="ADW388" s="6"/>
      <c r="ADX388" s="6"/>
      <c r="ADY388" s="6"/>
      <c r="ADZ388" s="6"/>
      <c r="AEA388" s="6"/>
      <c r="AEB388" s="6"/>
      <c r="AEC388" s="6"/>
      <c r="AED388" s="6"/>
      <c r="AEE388" s="6"/>
      <c r="AEF388" s="6"/>
      <c r="AEG388" s="6"/>
      <c r="AEH388" s="6"/>
      <c r="AEI388" s="6"/>
      <c r="AEJ388" s="6"/>
      <c r="AEK388" s="6"/>
      <c r="AEL388" s="6"/>
      <c r="AEM388" s="6"/>
      <c r="AEN388" s="6"/>
      <c r="AEO388" s="6"/>
      <c r="AEP388" s="6"/>
      <c r="AEQ388" s="6"/>
      <c r="AER388" s="6"/>
      <c r="AES388" s="6"/>
      <c r="AET388" s="6"/>
      <c r="AEU388" s="6"/>
      <c r="AEV388" s="6"/>
      <c r="AEW388" s="6"/>
      <c r="AEX388" s="6"/>
      <c r="AEY388" s="6"/>
      <c r="AEZ388" s="6"/>
      <c r="AFA388" s="6"/>
      <c r="AFB388" s="6"/>
      <c r="AFC388" s="6"/>
      <c r="AFD388" s="6"/>
      <c r="AFE388" s="6"/>
      <c r="AFF388" s="6"/>
      <c r="AFG388" s="6"/>
      <c r="AFH388" s="6"/>
      <c r="AFI388" s="6"/>
      <c r="AFJ388" s="6"/>
      <c r="AFK388" s="6"/>
      <c r="AFL388" s="6"/>
      <c r="AFM388" s="6"/>
      <c r="AFN388" s="6"/>
      <c r="AFO388" s="6"/>
      <c r="AFP388" s="6"/>
      <c r="AFQ388" s="6"/>
      <c r="AFR388" s="6"/>
      <c r="AFS388" s="6"/>
      <c r="AFT388" s="6"/>
      <c r="AFU388" s="6"/>
      <c r="AFV388" s="6"/>
      <c r="AFW388" s="6"/>
      <c r="AFX388" s="6"/>
      <c r="AFY388" s="6"/>
      <c r="AFZ388" s="6"/>
      <c r="AGA388" s="6"/>
      <c r="AGB388" s="6"/>
      <c r="AGC388" s="6"/>
      <c r="AGD388" s="6"/>
      <c r="AGE388" s="6"/>
      <c r="AGF388" s="6"/>
      <c r="AGG388" s="6"/>
      <c r="AGH388" s="6"/>
      <c r="AGI388" s="6"/>
      <c r="AGJ388" s="6"/>
      <c r="AGK388" s="6"/>
      <c r="AGL388" s="6"/>
      <c r="AGM388" s="6"/>
      <c r="AGN388" s="6"/>
      <c r="AGO388" s="6"/>
      <c r="AGP388" s="6"/>
      <c r="AGQ388" s="6"/>
      <c r="AGR388" s="6"/>
      <c r="AGS388" s="6"/>
      <c r="AGT388" s="6"/>
      <c r="AGU388" s="6"/>
      <c r="AGV388" s="6"/>
      <c r="AGW388" s="6"/>
      <c r="AGX388" s="6"/>
      <c r="AGY388" s="6"/>
      <c r="AGZ388" s="6"/>
      <c r="AHA388" s="6"/>
      <c r="AHB388" s="6"/>
      <c r="AHC388" s="6"/>
      <c r="AHD388" s="6"/>
      <c r="AHE388" s="6"/>
      <c r="AHF388" s="6"/>
      <c r="AHG388" s="6"/>
      <c r="AHH388" s="6"/>
      <c r="AHI388" s="6"/>
      <c r="AHJ388" s="6"/>
      <c r="AHK388" s="6"/>
      <c r="AHL388" s="6"/>
      <c r="AHM388" s="6"/>
      <c r="AHN388" s="6"/>
      <c r="AHO388" s="6"/>
      <c r="AHP388" s="6"/>
      <c r="AHQ388" s="6"/>
      <c r="AHR388" s="6"/>
      <c r="AHS388" s="6"/>
      <c r="AHT388" s="6"/>
      <c r="AHU388" s="6"/>
      <c r="AHV388" s="6"/>
      <c r="AHW388" s="6"/>
      <c r="AHX388" s="6"/>
      <c r="AHY388" s="6"/>
      <c r="AHZ388" s="6"/>
      <c r="AIA388" s="6"/>
      <c r="AIB388" s="6"/>
      <c r="AIC388" s="6"/>
      <c r="AID388" s="6"/>
      <c r="AIE388" s="6"/>
      <c r="AIF388" s="6"/>
      <c r="AIG388" s="6"/>
      <c r="AIH388" s="6"/>
      <c r="AII388" s="6"/>
      <c r="AIJ388" s="6"/>
      <c r="AIK388" s="6"/>
      <c r="AIL388" s="6"/>
      <c r="AIM388" s="6"/>
      <c r="AIN388" s="6"/>
      <c r="AIO388" s="6"/>
      <c r="AIP388" s="6"/>
      <c r="AIQ388" s="6"/>
      <c r="AIR388" s="6"/>
      <c r="AIS388" s="6"/>
      <c r="AIT388" s="6"/>
      <c r="AIU388" s="6"/>
      <c r="AIV388" s="6"/>
      <c r="AIW388" s="6"/>
      <c r="AIX388" s="6"/>
      <c r="AIY388" s="6"/>
      <c r="AIZ388" s="6"/>
      <c r="AJA388" s="6"/>
      <c r="AJB388" s="6"/>
      <c r="AJC388" s="6"/>
      <c r="AJD388" s="6"/>
      <c r="AJE388" s="6"/>
      <c r="AJF388" s="6"/>
      <c r="AJG388" s="6"/>
      <c r="AJH388" s="6"/>
      <c r="AJI388" s="6"/>
      <c r="AJJ388" s="6"/>
      <c r="AJK388" s="6"/>
      <c r="AJL388" s="6"/>
      <c r="AJM388" s="6"/>
      <c r="AJN388" s="6"/>
      <c r="AJO388" s="6"/>
      <c r="AJP388" s="6"/>
      <c r="AJQ388" s="6"/>
      <c r="AJR388" s="6"/>
      <c r="AJS388" s="6"/>
      <c r="AJT388" s="6"/>
      <c r="AJU388" s="6"/>
      <c r="AJV388" s="6"/>
      <c r="AJW388" s="6"/>
      <c r="AJX388" s="6"/>
      <c r="AJY388" s="6"/>
      <c r="AJZ388" s="6"/>
      <c r="AKA388" s="6"/>
      <c r="AKB388" s="6"/>
      <c r="AKC388" s="6"/>
      <c r="AKD388" s="6"/>
      <c r="AKE388" s="6"/>
      <c r="AKF388" s="6"/>
      <c r="AKG388" s="6"/>
      <c r="AKH388" s="6"/>
      <c r="AKI388" s="6"/>
      <c r="AKJ388" s="6"/>
      <c r="AKK388" s="6"/>
      <c r="AKL388" s="6"/>
      <c r="AKM388" s="6"/>
      <c r="AKN388" s="6"/>
      <c r="AKO388" s="6"/>
      <c r="AKP388" s="6"/>
      <c r="AKQ388" s="6"/>
      <c r="AKR388" s="6"/>
      <c r="AKS388" s="6"/>
      <c r="AKT388" s="6"/>
      <c r="AKU388" s="6"/>
      <c r="AKV388" s="6"/>
      <c r="AKW388" s="6"/>
      <c r="AKX388" s="6"/>
      <c r="AKY388" s="6"/>
      <c r="AKZ388" s="6"/>
      <c r="ALA388" s="6"/>
      <c r="ALB388" s="6"/>
      <c r="ALC388" s="6"/>
      <c r="ALD388" s="6"/>
      <c r="ALE388" s="6"/>
      <c r="ALF388" s="6"/>
      <c r="ALG388" s="6"/>
      <c r="ALH388" s="6"/>
      <c r="ALI388" s="6"/>
      <c r="ALJ388" s="6"/>
      <c r="ALK388" s="6"/>
      <c r="ALL388" s="6"/>
      <c r="ALM388" s="6"/>
      <c r="ALN388" s="6"/>
      <c r="ALO388" s="6"/>
      <c r="ALP388" s="6"/>
      <c r="ALQ388" s="6"/>
      <c r="ALR388" s="6"/>
      <c r="ALS388" s="6"/>
      <c r="ALT388" s="6"/>
      <c r="ALU388" s="6"/>
      <c r="ALV388" s="6"/>
      <c r="ALW388" s="6"/>
      <c r="ALX388" s="6"/>
      <c r="ALY388" s="6"/>
      <c r="ALZ388" s="6"/>
      <c r="AMA388" s="6"/>
      <c r="AMB388" s="6"/>
      <c r="AMC388" s="6"/>
      <c r="AMD388" s="6"/>
      <c r="AME388" s="6"/>
      <c r="AMF388" s="6"/>
      <c r="AMG388" s="6"/>
      <c r="AMH388" s="6"/>
      <c r="AMI388" s="6"/>
      <c r="AMJ388" s="6"/>
      <c r="AMK388" s="6"/>
      <c r="AML388" s="6"/>
      <c r="AMM388" s="6"/>
      <c r="AMN388" s="6"/>
      <c r="AMO388" s="6"/>
      <c r="AMP388" s="6"/>
    </row>
    <row r="389" spans="1:1030" x14ac:dyDescent="0.2">
      <c r="A389" s="9" t="str">
        <f t="shared" si="3326"/>
        <v>q80km9_hcmv_5WB1</v>
      </c>
      <c r="B389" s="40" t="s">
        <v>1501</v>
      </c>
      <c r="C389" s="9" t="s">
        <v>1503</v>
      </c>
      <c r="D389" s="9" t="str">
        <f>IFERROR(MID(VLOOKUP($B389,Seqs!$A:$B,2,0),E389,1),"")</f>
        <v>F</v>
      </c>
      <c r="E389" s="9">
        <v>25</v>
      </c>
      <c r="F389" s="9" t="str">
        <f>IFERROR(MID(VLOOKUP($B389,Seqs!$A:$B,2,0),G389,1),"")</f>
        <v>W</v>
      </c>
      <c r="G389" s="9">
        <v>60</v>
      </c>
      <c r="H389" s="9" t="str">
        <f>IFERROR(MID(VLOOKUP($B389,Seqs!$A:$B,2,0),I389,1),"")</f>
        <v/>
      </c>
      <c r="I389" s="109" t="s">
        <v>23</v>
      </c>
      <c r="J389" s="9" t="str">
        <f>IFERROR(MID(VLOOKUP($B389,Seqs!$A:$B,2,0),K389,1),"")</f>
        <v/>
      </c>
      <c r="K389" s="109" t="s">
        <v>23</v>
      </c>
      <c r="L389" s="9" t="str">
        <f>IFERROR(MID(VLOOKUP($B389,Seqs!$A:$B,2,0),M389,1),"")</f>
        <v>C</v>
      </c>
      <c r="M389" s="9">
        <v>66</v>
      </c>
      <c r="N389" s="9" t="str">
        <f>IFERROR(MID(VLOOKUP($B389,Seqs!$A:$B,2,0),O389,1),"")</f>
        <v>D</v>
      </c>
      <c r="O389" s="9">
        <v>95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A</v>
      </c>
      <c r="U389" s="9">
        <v>100</v>
      </c>
      <c r="V389" s="9" t="str">
        <f>IFERROR(MID(VLOOKUP($B389,Seqs!$A:$B,2,0),W389,1),"")</f>
        <v>V</v>
      </c>
      <c r="W389" s="9">
        <v>134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P</v>
      </c>
      <c r="AC389" s="9">
        <v>140</v>
      </c>
      <c r="AD389" s="9" t="str">
        <f>IFERROR(MID(VLOOKUP($B389,Seqs!$A:$B,2,0),AE389,1),"")</f>
        <v>M</v>
      </c>
      <c r="AE389" s="9">
        <v>164</v>
      </c>
      <c r="AF389" s="9" t="str">
        <f>IFERROR(MID(VLOOKUP($B389,Seqs!$A:$B,2,0),AG389,1),"")</f>
        <v>C</v>
      </c>
      <c r="AG389" s="9">
        <v>173</v>
      </c>
      <c r="AH389" s="9" t="str">
        <f>IFERROR(MID(VLOOKUP($B389,Seqs!$A:$B,2,0),AI389,1),"")</f>
        <v>T</v>
      </c>
      <c r="AI389" s="9">
        <v>175</v>
      </c>
      <c r="AJ389" s="9" t="str">
        <f>IFERROR(MID(VLOOKUP($B389,Seqs!$A:$B,2,0),AK389,1),"")</f>
        <v>S</v>
      </c>
      <c r="AK389" s="9">
        <v>183</v>
      </c>
      <c r="AL389" s="9" t="str">
        <f>IFERROR(MID(VLOOKUP($B389,Seqs!$A:$B,2,0),AM389,1),"")</f>
        <v>S</v>
      </c>
      <c r="AM389" s="9">
        <v>218</v>
      </c>
      <c r="AN389" s="9" t="str">
        <f>IFERROR(MID(VLOOKUP($B389,Seqs!$A:$B,2,0),AO389,1),"")</f>
        <v>H</v>
      </c>
      <c r="AO389" s="9">
        <v>222</v>
      </c>
      <c r="AP389" s="9" t="str">
        <f>IFERROR(MID(VLOOKUP($B389,Seqs!$A:$B,2,0),AQ389,1),"")</f>
        <v>K</v>
      </c>
      <c r="AQ389" s="9">
        <v>257</v>
      </c>
      <c r="AR389" s="9" t="str">
        <f>IFERROR(MID(VLOOKUP($B389,Seqs!$A:$B,2,0),AS389,1),"")</f>
        <v>S</v>
      </c>
      <c r="AS389" s="9">
        <v>262</v>
      </c>
      <c r="AT389" s="9" t="str">
        <f>IFERROR(MID(VLOOKUP($B389,Seqs!$A:$B,2,0),AU389,1),"")</f>
        <v>V</v>
      </c>
      <c r="AU389" s="9">
        <v>294</v>
      </c>
      <c r="AV389" s="9" t="str">
        <f>IFERROR(MID(VLOOKUP($B389,Seqs!$A:$B,2,0),AW389,1),"")</f>
        <v>G</v>
      </c>
      <c r="AW389" s="9">
        <v>295</v>
      </c>
      <c r="AX389" s="9" t="str">
        <f>IFERROR(MID(VLOOKUP($B389,Seqs!$A:$B,2,0),AY389,1),"")</f>
        <v>R</v>
      </c>
      <c r="AY389" s="9">
        <v>310</v>
      </c>
      <c r="AZ389" s="110" t="str">
        <f>VLOOKUP(B389,Classification!A:D,2,0)</f>
        <v>A</v>
      </c>
      <c r="BA389" s="98" t="str">
        <f>VLOOKUP(B389,Classification!A:D,4,0)</f>
        <v>Chemokine</v>
      </c>
      <c r="BB389" s="36" t="b">
        <f t="shared" si="3299"/>
        <v>1</v>
      </c>
      <c r="BC389" s="109">
        <f t="shared" si="3300"/>
        <v>253</v>
      </c>
      <c r="BD389" s="11" t="s">
        <v>1369</v>
      </c>
      <c r="BE389" s="9" t="s">
        <v>1285</v>
      </c>
      <c r="BF389" s="119">
        <v>3.51</v>
      </c>
      <c r="BG389" s="51" t="s">
        <v>1</v>
      </c>
      <c r="BH389" s="51" t="s">
        <v>1</v>
      </c>
      <c r="BI389" s="12"/>
      <c r="BJ389" s="111" t="s">
        <v>1281</v>
      </c>
      <c r="BK389" s="112" t="s">
        <v>1281</v>
      </c>
      <c r="BL389" s="112" t="s">
        <v>1281</v>
      </c>
      <c r="BM389" s="112" t="s">
        <v>1281</v>
      </c>
      <c r="BN389" s="112" t="s">
        <v>1281</v>
      </c>
      <c r="BO389" s="112" t="s">
        <v>1281</v>
      </c>
      <c r="BP389" s="112" t="s">
        <v>1281</v>
      </c>
      <c r="BQ389" s="112" t="s">
        <v>1281</v>
      </c>
      <c r="BR389" s="112" t="s">
        <v>1281</v>
      </c>
      <c r="BS389" s="112" t="s">
        <v>1281</v>
      </c>
      <c r="BT389" s="112" t="s">
        <v>1281</v>
      </c>
      <c r="BU389" s="112" t="s">
        <v>1281</v>
      </c>
      <c r="BV389" s="111">
        <f t="shared" si="3301"/>
        <v>25</v>
      </c>
      <c r="BW389" s="113" t="str">
        <f t="shared" si="3302"/>
        <v>-</v>
      </c>
      <c r="BX389" s="114">
        <f t="shared" si="3303"/>
        <v>66</v>
      </c>
      <c r="BY389" s="113" t="str">
        <f t="shared" si="3304"/>
        <v>-</v>
      </c>
      <c r="BZ389" s="114">
        <f t="shared" si="3305"/>
        <v>100</v>
      </c>
      <c r="CA389" s="113" t="str">
        <f t="shared" si="3306"/>
        <v>-</v>
      </c>
      <c r="CB389" s="114">
        <f t="shared" si="3307"/>
        <v>140</v>
      </c>
      <c r="CC389" s="113">
        <f t="shared" si="3308"/>
        <v>173</v>
      </c>
      <c r="CD389" s="114">
        <f t="shared" si="3309"/>
        <v>183</v>
      </c>
      <c r="CE389" s="113">
        <f t="shared" si="3310"/>
        <v>222</v>
      </c>
      <c r="CF389" s="114">
        <f t="shared" si="3311"/>
        <v>262</v>
      </c>
      <c r="CG389" s="113">
        <f t="shared" si="3312"/>
        <v>295</v>
      </c>
      <c r="CH389" s="111">
        <f t="shared" si="3313"/>
        <v>60</v>
      </c>
      <c r="CI389" s="113" t="str">
        <f t="shared" si="3314"/>
        <v>-</v>
      </c>
      <c r="CJ389" s="114">
        <f t="shared" si="3315"/>
        <v>95</v>
      </c>
      <c r="CK389" s="114" t="str">
        <f t="shared" si="3316"/>
        <v>-</v>
      </c>
      <c r="CL389" s="114">
        <f t="shared" si="3317"/>
        <v>134</v>
      </c>
      <c r="CM389" s="114" t="str">
        <f t="shared" si="3318"/>
        <v>-</v>
      </c>
      <c r="CN389" s="114">
        <f t="shared" si="3319"/>
        <v>164</v>
      </c>
      <c r="CO389" s="114">
        <f t="shared" si="3320"/>
        <v>175</v>
      </c>
      <c r="CP389" s="114">
        <f t="shared" si="3321"/>
        <v>218</v>
      </c>
      <c r="CQ389" s="114">
        <f t="shared" si="3322"/>
        <v>257</v>
      </c>
      <c r="CR389" s="114">
        <f t="shared" si="3323"/>
        <v>294</v>
      </c>
      <c r="CS389" s="114">
        <f t="shared" si="3324"/>
        <v>310</v>
      </c>
      <c r="CT389" s="109" t="e">
        <f t="shared" si="3325"/>
        <v>#VALUE!</v>
      </c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6"/>
      <c r="ACQ389" s="6"/>
      <c r="ACR389" s="6"/>
      <c r="ACS389" s="6"/>
      <c r="ACT389" s="6"/>
      <c r="ACU389" s="6"/>
      <c r="ACV389" s="6"/>
      <c r="ACW389" s="6"/>
      <c r="ACX389" s="6"/>
      <c r="ACY389" s="6"/>
      <c r="ACZ389" s="6"/>
      <c r="ADA389" s="6"/>
      <c r="ADB389" s="6"/>
      <c r="ADC389" s="6"/>
      <c r="ADD389" s="6"/>
      <c r="ADE389" s="6"/>
      <c r="ADF389" s="6"/>
      <c r="ADG389" s="6"/>
      <c r="ADH389" s="6"/>
      <c r="ADI389" s="6"/>
      <c r="ADJ389" s="6"/>
      <c r="ADK389" s="6"/>
      <c r="ADL389" s="6"/>
      <c r="ADM389" s="6"/>
      <c r="ADN389" s="6"/>
      <c r="ADO389" s="6"/>
      <c r="ADP389" s="6"/>
      <c r="ADQ389" s="6"/>
      <c r="ADR389" s="6"/>
      <c r="ADS389" s="6"/>
      <c r="ADT389" s="6"/>
      <c r="ADU389" s="6"/>
      <c r="ADV389" s="6"/>
      <c r="ADW389" s="6"/>
      <c r="ADX389" s="6"/>
      <c r="ADY389" s="6"/>
      <c r="ADZ389" s="6"/>
      <c r="AEA389" s="6"/>
      <c r="AEB389" s="6"/>
      <c r="AEC389" s="6"/>
      <c r="AED389" s="6"/>
      <c r="AEE389" s="6"/>
      <c r="AEF389" s="6"/>
      <c r="AEG389" s="6"/>
      <c r="AEH389" s="6"/>
      <c r="AEI389" s="6"/>
      <c r="AEJ389" s="6"/>
      <c r="AEK389" s="6"/>
      <c r="AEL389" s="6"/>
      <c r="AEM389" s="6"/>
      <c r="AEN389" s="6"/>
      <c r="AEO389" s="6"/>
      <c r="AEP389" s="6"/>
      <c r="AEQ389" s="6"/>
      <c r="AER389" s="6"/>
      <c r="AES389" s="6"/>
      <c r="AET389" s="6"/>
      <c r="AEU389" s="6"/>
      <c r="AEV389" s="6"/>
      <c r="AEW389" s="6"/>
      <c r="AEX389" s="6"/>
      <c r="AEY389" s="6"/>
      <c r="AEZ389" s="6"/>
      <c r="AFA389" s="6"/>
      <c r="AFB389" s="6"/>
      <c r="AFC389" s="6"/>
      <c r="AFD389" s="6"/>
      <c r="AFE389" s="6"/>
      <c r="AFF389" s="6"/>
      <c r="AFG389" s="6"/>
      <c r="AFH389" s="6"/>
      <c r="AFI389" s="6"/>
      <c r="AFJ389" s="6"/>
      <c r="AFK389" s="6"/>
      <c r="AFL389" s="6"/>
      <c r="AFM389" s="6"/>
      <c r="AFN389" s="6"/>
      <c r="AFO389" s="6"/>
      <c r="AFP389" s="6"/>
      <c r="AFQ389" s="6"/>
      <c r="AFR389" s="6"/>
      <c r="AFS389" s="6"/>
      <c r="AFT389" s="6"/>
      <c r="AFU389" s="6"/>
      <c r="AFV389" s="6"/>
      <c r="AFW389" s="6"/>
      <c r="AFX389" s="6"/>
      <c r="AFY389" s="6"/>
      <c r="AFZ389" s="6"/>
      <c r="AGA389" s="6"/>
      <c r="AGB389" s="6"/>
      <c r="AGC389" s="6"/>
      <c r="AGD389" s="6"/>
      <c r="AGE389" s="6"/>
      <c r="AGF389" s="6"/>
      <c r="AGG389" s="6"/>
      <c r="AGH389" s="6"/>
      <c r="AGI389" s="6"/>
      <c r="AGJ389" s="6"/>
      <c r="AGK389" s="6"/>
      <c r="AGL389" s="6"/>
      <c r="AGM389" s="6"/>
      <c r="AGN389" s="6"/>
      <c r="AGO389" s="6"/>
      <c r="AGP389" s="6"/>
      <c r="AGQ389" s="6"/>
      <c r="AGR389" s="6"/>
      <c r="AGS389" s="6"/>
      <c r="AGT389" s="6"/>
      <c r="AGU389" s="6"/>
      <c r="AGV389" s="6"/>
      <c r="AGW389" s="6"/>
      <c r="AGX389" s="6"/>
      <c r="AGY389" s="6"/>
      <c r="AGZ389" s="6"/>
      <c r="AHA389" s="6"/>
      <c r="AHB389" s="6"/>
      <c r="AHC389" s="6"/>
      <c r="AHD389" s="6"/>
      <c r="AHE389" s="6"/>
      <c r="AHF389" s="6"/>
      <c r="AHG389" s="6"/>
      <c r="AHH389" s="6"/>
      <c r="AHI389" s="6"/>
      <c r="AHJ389" s="6"/>
      <c r="AHK389" s="6"/>
      <c r="AHL389" s="6"/>
      <c r="AHM389" s="6"/>
      <c r="AHN389" s="6"/>
      <c r="AHO389" s="6"/>
      <c r="AHP389" s="6"/>
      <c r="AHQ389" s="6"/>
      <c r="AHR389" s="6"/>
      <c r="AHS389" s="6"/>
      <c r="AHT389" s="6"/>
      <c r="AHU389" s="6"/>
      <c r="AHV389" s="6"/>
      <c r="AHW389" s="6"/>
      <c r="AHX389" s="6"/>
      <c r="AHY389" s="6"/>
      <c r="AHZ389" s="6"/>
      <c r="AIA389" s="6"/>
      <c r="AIB389" s="6"/>
      <c r="AIC389" s="6"/>
      <c r="AID389" s="6"/>
      <c r="AIE389" s="6"/>
      <c r="AIF389" s="6"/>
      <c r="AIG389" s="6"/>
      <c r="AIH389" s="6"/>
      <c r="AII389" s="6"/>
      <c r="AIJ389" s="6"/>
      <c r="AIK389" s="6"/>
      <c r="AIL389" s="6"/>
      <c r="AIM389" s="6"/>
      <c r="AIN389" s="6"/>
      <c r="AIO389" s="6"/>
      <c r="AIP389" s="6"/>
      <c r="AIQ389" s="6"/>
      <c r="AIR389" s="6"/>
      <c r="AIS389" s="6"/>
      <c r="AIT389" s="6"/>
      <c r="AIU389" s="6"/>
      <c r="AIV389" s="6"/>
      <c r="AIW389" s="6"/>
      <c r="AIX389" s="6"/>
      <c r="AIY389" s="6"/>
      <c r="AIZ389" s="6"/>
      <c r="AJA389" s="6"/>
      <c r="AJB389" s="6"/>
      <c r="AJC389" s="6"/>
      <c r="AJD389" s="6"/>
      <c r="AJE389" s="6"/>
      <c r="AJF389" s="6"/>
      <c r="AJG389" s="6"/>
      <c r="AJH389" s="6"/>
      <c r="AJI389" s="6"/>
      <c r="AJJ389" s="6"/>
      <c r="AJK389" s="6"/>
      <c r="AJL389" s="6"/>
      <c r="AJM389" s="6"/>
      <c r="AJN389" s="6"/>
      <c r="AJO389" s="6"/>
      <c r="AJP389" s="6"/>
      <c r="AJQ389" s="6"/>
      <c r="AJR389" s="6"/>
      <c r="AJS389" s="6"/>
      <c r="AJT389" s="6"/>
      <c r="AJU389" s="6"/>
      <c r="AJV389" s="6"/>
      <c r="AJW389" s="6"/>
      <c r="AJX389" s="6"/>
      <c r="AJY389" s="6"/>
      <c r="AJZ389" s="6"/>
      <c r="AKA389" s="6"/>
      <c r="AKB389" s="6"/>
      <c r="AKC389" s="6"/>
      <c r="AKD389" s="6"/>
      <c r="AKE389" s="6"/>
      <c r="AKF389" s="6"/>
      <c r="AKG389" s="6"/>
      <c r="AKH389" s="6"/>
      <c r="AKI389" s="6"/>
      <c r="AKJ389" s="6"/>
      <c r="AKK389" s="6"/>
      <c r="AKL389" s="6"/>
      <c r="AKM389" s="6"/>
      <c r="AKN389" s="6"/>
      <c r="AKO389" s="6"/>
      <c r="AKP389" s="6"/>
      <c r="AKQ389" s="6"/>
      <c r="AKR389" s="6"/>
      <c r="AKS389" s="6"/>
      <c r="AKT389" s="6"/>
      <c r="AKU389" s="6"/>
      <c r="AKV389" s="6"/>
      <c r="AKW389" s="6"/>
      <c r="AKX389" s="6"/>
      <c r="AKY389" s="6"/>
      <c r="AKZ389" s="6"/>
      <c r="ALA389" s="6"/>
      <c r="ALB389" s="6"/>
      <c r="ALC389" s="6"/>
      <c r="ALD389" s="6"/>
      <c r="ALE389" s="6"/>
      <c r="ALF389" s="6"/>
      <c r="ALG389" s="6"/>
      <c r="ALH389" s="6"/>
      <c r="ALI389" s="6"/>
      <c r="ALJ389" s="6"/>
      <c r="ALK389" s="6"/>
      <c r="ALL389" s="6"/>
      <c r="ALM389" s="6"/>
      <c r="ALN389" s="6"/>
      <c r="ALO389" s="6"/>
      <c r="ALP389" s="6"/>
      <c r="ALQ389" s="6"/>
      <c r="ALR389" s="6"/>
      <c r="ALS389" s="6"/>
      <c r="ALT389" s="6"/>
      <c r="ALU389" s="6"/>
      <c r="ALV389" s="6"/>
      <c r="ALW389" s="6"/>
      <c r="ALX389" s="6"/>
      <c r="ALY389" s="6"/>
      <c r="ALZ389" s="6"/>
      <c r="AMA389" s="6"/>
      <c r="AMB389" s="6"/>
      <c r="AMC389" s="6"/>
      <c r="AMD389" s="6"/>
      <c r="AME389" s="6"/>
      <c r="AMF389" s="6"/>
      <c r="AMG389" s="6"/>
      <c r="AMH389" s="6"/>
      <c r="AMI389" s="6"/>
      <c r="AMJ389" s="6"/>
      <c r="AMK389" s="6"/>
      <c r="AML389" s="6"/>
      <c r="AMM389" s="6"/>
      <c r="AMN389" s="6"/>
      <c r="AMO389" s="6"/>
      <c r="AMP389" s="6"/>
    </row>
    <row r="390" spans="1:1030" x14ac:dyDescent="0.2">
      <c r="A390" s="9" t="str">
        <f t="shared" si="3326"/>
        <v>q80km9_hcmv_5WB2</v>
      </c>
      <c r="B390" s="40" t="s">
        <v>1501</v>
      </c>
      <c r="C390" s="9" t="s">
        <v>1504</v>
      </c>
      <c r="D390" s="9" t="str">
        <f>IFERROR(MID(VLOOKUP($B390,Seqs!$A:$B,2,0),E390,1),"")</f>
        <v>F</v>
      </c>
      <c r="E390" s="9">
        <v>25</v>
      </c>
      <c r="F390" s="9" t="str">
        <f>IFERROR(MID(VLOOKUP($B390,Seqs!$A:$B,2,0),G390,1),"")</f>
        <v>W</v>
      </c>
      <c r="G390" s="9">
        <v>60</v>
      </c>
      <c r="H390" s="9" t="str">
        <f>IFERROR(MID(VLOOKUP($B390,Seqs!$A:$B,2,0),I390,1),"")</f>
        <v/>
      </c>
      <c r="I390" s="109" t="s">
        <v>23</v>
      </c>
      <c r="J390" s="9" t="str">
        <f>IFERROR(MID(VLOOKUP($B390,Seqs!$A:$B,2,0),K390,1),"")</f>
        <v/>
      </c>
      <c r="K390" s="109" t="s">
        <v>23</v>
      </c>
      <c r="L390" s="9" t="str">
        <f>IFERROR(MID(VLOOKUP($B390,Seqs!$A:$B,2,0),M390,1),"")</f>
        <v>C</v>
      </c>
      <c r="M390" s="9">
        <v>66</v>
      </c>
      <c r="N390" s="9" t="str">
        <f>IFERROR(MID(VLOOKUP($B390,Seqs!$A:$B,2,0),O390,1),"")</f>
        <v>D</v>
      </c>
      <c r="O390" s="9">
        <v>95</v>
      </c>
      <c r="P390" s="9" t="str">
        <f>IFERROR(MID(VLOOKUP($B390,Seqs!$A:$B,2,0),Q390,1),"")</f>
        <v/>
      </c>
      <c r="Q390" s="9" t="s">
        <v>23</v>
      </c>
      <c r="R390" s="9" t="str">
        <f>IFERROR(MID(VLOOKUP($B390,Seqs!$A:$B,2,0),S390,1),"")</f>
        <v/>
      </c>
      <c r="S390" s="9" t="s">
        <v>23</v>
      </c>
      <c r="T390" s="9" t="str">
        <f>IFERROR(MID(VLOOKUP($B390,Seqs!$A:$B,2,0),U390,1),"")</f>
        <v>A</v>
      </c>
      <c r="U390" s="9">
        <v>100</v>
      </c>
      <c r="V390" s="9" t="str">
        <f>IFERROR(MID(VLOOKUP($B390,Seqs!$A:$B,2,0),W390,1),"")</f>
        <v>V</v>
      </c>
      <c r="W390" s="9">
        <v>134</v>
      </c>
      <c r="X390" s="9" t="str">
        <f>IFERROR(MID(VLOOKUP($B390,Seqs!$A:$B,2,0),Y390,1),"")</f>
        <v/>
      </c>
      <c r="Y390" s="9" t="s">
        <v>23</v>
      </c>
      <c r="Z390" s="9" t="str">
        <f>IFERROR(MID(VLOOKUP($B390,Seqs!$A:$B,2,0),AA390,1),"")</f>
        <v/>
      </c>
      <c r="AA390" s="9" t="s">
        <v>23</v>
      </c>
      <c r="AB390" s="9" t="str">
        <f>IFERROR(MID(VLOOKUP($B390,Seqs!$A:$B,2,0),AC390,1),"")</f>
        <v>P</v>
      </c>
      <c r="AC390" s="9">
        <v>140</v>
      </c>
      <c r="AD390" s="9" t="str">
        <f>IFERROR(MID(VLOOKUP($B390,Seqs!$A:$B,2,0),AE390,1),"")</f>
        <v>M</v>
      </c>
      <c r="AE390" s="9">
        <v>164</v>
      </c>
      <c r="AF390" s="9" t="str">
        <f>IFERROR(MID(VLOOKUP($B390,Seqs!$A:$B,2,0),AG390,1),"")</f>
        <v>C</v>
      </c>
      <c r="AG390" s="9">
        <v>173</v>
      </c>
      <c r="AH390" s="9" t="str">
        <f>IFERROR(MID(VLOOKUP($B390,Seqs!$A:$B,2,0),AI390,1),"")</f>
        <v>T</v>
      </c>
      <c r="AI390" s="9">
        <v>175</v>
      </c>
      <c r="AJ390" s="9" t="str">
        <f>IFERROR(MID(VLOOKUP($B390,Seqs!$A:$B,2,0),AK390,1),"")</f>
        <v>S</v>
      </c>
      <c r="AK390" s="9">
        <v>183</v>
      </c>
      <c r="AL390" s="9" t="str">
        <f>IFERROR(MID(VLOOKUP($B390,Seqs!$A:$B,2,0),AM390,1),"")</f>
        <v>S</v>
      </c>
      <c r="AM390" s="9">
        <v>218</v>
      </c>
      <c r="AN390" s="9" t="str">
        <f>IFERROR(MID(VLOOKUP($B390,Seqs!$A:$B,2,0),AO390,1),"")</f>
        <v>H</v>
      </c>
      <c r="AO390" s="9">
        <v>222</v>
      </c>
      <c r="AP390" s="9" t="str">
        <f>IFERROR(MID(VLOOKUP($B390,Seqs!$A:$B,2,0),AQ390,1),"")</f>
        <v>K</v>
      </c>
      <c r="AQ390" s="9">
        <v>257</v>
      </c>
      <c r="AR390" s="9" t="str">
        <f>IFERROR(MID(VLOOKUP($B390,Seqs!$A:$B,2,0),AS390,1),"")</f>
        <v>S</v>
      </c>
      <c r="AS390" s="9">
        <v>262</v>
      </c>
      <c r="AT390" s="9" t="str">
        <f>IFERROR(MID(VLOOKUP($B390,Seqs!$A:$B,2,0),AU390,1),"")</f>
        <v>V</v>
      </c>
      <c r="AU390" s="9">
        <v>294</v>
      </c>
      <c r="AV390" s="9" t="str">
        <f>IFERROR(MID(VLOOKUP($B390,Seqs!$A:$B,2,0),AW390,1),"")</f>
        <v>G</v>
      </c>
      <c r="AW390" s="9">
        <v>295</v>
      </c>
      <c r="AX390" s="9" t="str">
        <f>IFERROR(MID(VLOOKUP($B390,Seqs!$A:$B,2,0),AY390,1),"")</f>
        <v>A</v>
      </c>
      <c r="AY390" s="9">
        <v>307</v>
      </c>
      <c r="AZ390" s="110" t="str">
        <f>VLOOKUP(B390,Classification!A:D,2,0)</f>
        <v>A</v>
      </c>
      <c r="BA390" s="98" t="str">
        <f>VLOOKUP(B390,Classification!A:D,4,0)</f>
        <v>Chemokine</v>
      </c>
      <c r="BB390" s="36" t="b">
        <f t="shared" si="3299"/>
        <v>1</v>
      </c>
      <c r="BC390" s="109">
        <f t="shared" si="3300"/>
        <v>250</v>
      </c>
      <c r="BD390" s="11" t="s">
        <v>23</v>
      </c>
      <c r="BE390" s="9" t="s">
        <v>1285</v>
      </c>
      <c r="BF390" s="119">
        <v>3.5</v>
      </c>
      <c r="BG390" s="51" t="s">
        <v>1</v>
      </c>
      <c r="BH390" s="51" t="s">
        <v>1</v>
      </c>
      <c r="BI390" s="12"/>
      <c r="BJ390" s="111" t="s">
        <v>1281</v>
      </c>
      <c r="BK390" s="112" t="s">
        <v>1281</v>
      </c>
      <c r="BL390" s="112" t="s">
        <v>1281</v>
      </c>
      <c r="BM390" s="112" t="s">
        <v>1281</v>
      </c>
      <c r="BN390" s="112" t="s">
        <v>1281</v>
      </c>
      <c r="BO390" s="112" t="s">
        <v>1281</v>
      </c>
      <c r="BP390" s="112" t="s">
        <v>1281</v>
      </c>
      <c r="BQ390" s="112" t="s">
        <v>1281</v>
      </c>
      <c r="BR390" s="112" t="s">
        <v>1281</v>
      </c>
      <c r="BS390" s="112" t="s">
        <v>1281</v>
      </c>
      <c r="BT390" s="112" t="s">
        <v>1281</v>
      </c>
      <c r="BU390" s="112" t="s">
        <v>1281</v>
      </c>
      <c r="BV390" s="111">
        <f t="shared" si="3301"/>
        <v>25</v>
      </c>
      <c r="BW390" s="113" t="str">
        <f t="shared" si="3302"/>
        <v>-</v>
      </c>
      <c r="BX390" s="114">
        <f t="shared" si="3303"/>
        <v>66</v>
      </c>
      <c r="BY390" s="113" t="str">
        <f t="shared" si="3304"/>
        <v>-</v>
      </c>
      <c r="BZ390" s="114">
        <f t="shared" si="3305"/>
        <v>100</v>
      </c>
      <c r="CA390" s="113" t="str">
        <f t="shared" si="3306"/>
        <v>-</v>
      </c>
      <c r="CB390" s="114">
        <f t="shared" si="3307"/>
        <v>140</v>
      </c>
      <c r="CC390" s="113">
        <f t="shared" si="3308"/>
        <v>173</v>
      </c>
      <c r="CD390" s="114">
        <f t="shared" si="3309"/>
        <v>183</v>
      </c>
      <c r="CE390" s="113">
        <f t="shared" si="3310"/>
        <v>222</v>
      </c>
      <c r="CF390" s="114">
        <f t="shared" si="3311"/>
        <v>262</v>
      </c>
      <c r="CG390" s="113">
        <f t="shared" si="3312"/>
        <v>295</v>
      </c>
      <c r="CH390" s="111">
        <f t="shared" si="3313"/>
        <v>60</v>
      </c>
      <c r="CI390" s="113" t="str">
        <f t="shared" si="3314"/>
        <v>-</v>
      </c>
      <c r="CJ390" s="114">
        <f t="shared" si="3315"/>
        <v>95</v>
      </c>
      <c r="CK390" s="114" t="str">
        <f t="shared" si="3316"/>
        <v>-</v>
      </c>
      <c r="CL390" s="114">
        <f t="shared" si="3317"/>
        <v>134</v>
      </c>
      <c r="CM390" s="114" t="str">
        <f t="shared" si="3318"/>
        <v>-</v>
      </c>
      <c r="CN390" s="114">
        <f t="shared" si="3319"/>
        <v>164</v>
      </c>
      <c r="CO390" s="114">
        <f t="shared" si="3320"/>
        <v>175</v>
      </c>
      <c r="CP390" s="114">
        <f t="shared" si="3321"/>
        <v>218</v>
      </c>
      <c r="CQ390" s="114">
        <f t="shared" si="3322"/>
        <v>257</v>
      </c>
      <c r="CR390" s="114">
        <f t="shared" si="3323"/>
        <v>294</v>
      </c>
      <c r="CS390" s="114">
        <f t="shared" si="3324"/>
        <v>307</v>
      </c>
      <c r="CT390" s="109" t="e">
        <f t="shared" si="3325"/>
        <v>#VALUE!</v>
      </c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6"/>
      <c r="ACQ390" s="6"/>
      <c r="ACR390" s="6"/>
      <c r="ACS390" s="6"/>
      <c r="ACT390" s="6"/>
      <c r="ACU390" s="6"/>
      <c r="ACV390" s="6"/>
      <c r="ACW390" s="6"/>
      <c r="ACX390" s="6"/>
      <c r="ACY390" s="6"/>
      <c r="ACZ390" s="6"/>
      <c r="ADA390" s="6"/>
      <c r="ADB390" s="6"/>
      <c r="ADC390" s="6"/>
      <c r="ADD390" s="6"/>
      <c r="ADE390" s="6"/>
      <c r="ADF390" s="6"/>
      <c r="ADG390" s="6"/>
      <c r="ADH390" s="6"/>
      <c r="ADI390" s="6"/>
      <c r="ADJ390" s="6"/>
      <c r="ADK390" s="6"/>
      <c r="ADL390" s="6"/>
      <c r="ADM390" s="6"/>
      <c r="ADN390" s="6"/>
      <c r="ADO390" s="6"/>
      <c r="ADP390" s="6"/>
      <c r="ADQ390" s="6"/>
      <c r="ADR390" s="6"/>
      <c r="ADS390" s="6"/>
      <c r="ADT390" s="6"/>
      <c r="ADU390" s="6"/>
      <c r="ADV390" s="6"/>
      <c r="ADW390" s="6"/>
      <c r="ADX390" s="6"/>
      <c r="ADY390" s="6"/>
      <c r="ADZ390" s="6"/>
      <c r="AEA390" s="6"/>
      <c r="AEB390" s="6"/>
      <c r="AEC390" s="6"/>
      <c r="AED390" s="6"/>
      <c r="AEE390" s="6"/>
      <c r="AEF390" s="6"/>
      <c r="AEG390" s="6"/>
      <c r="AEH390" s="6"/>
      <c r="AEI390" s="6"/>
      <c r="AEJ390" s="6"/>
      <c r="AEK390" s="6"/>
      <c r="AEL390" s="6"/>
      <c r="AEM390" s="6"/>
      <c r="AEN390" s="6"/>
      <c r="AEO390" s="6"/>
      <c r="AEP390" s="6"/>
      <c r="AEQ390" s="6"/>
      <c r="AER390" s="6"/>
      <c r="AES390" s="6"/>
      <c r="AET390" s="6"/>
      <c r="AEU390" s="6"/>
      <c r="AEV390" s="6"/>
      <c r="AEW390" s="6"/>
      <c r="AEX390" s="6"/>
      <c r="AEY390" s="6"/>
      <c r="AEZ390" s="6"/>
      <c r="AFA390" s="6"/>
      <c r="AFB390" s="6"/>
      <c r="AFC390" s="6"/>
      <c r="AFD390" s="6"/>
      <c r="AFE390" s="6"/>
      <c r="AFF390" s="6"/>
      <c r="AFG390" s="6"/>
      <c r="AFH390" s="6"/>
      <c r="AFI390" s="6"/>
      <c r="AFJ390" s="6"/>
      <c r="AFK390" s="6"/>
      <c r="AFL390" s="6"/>
      <c r="AFM390" s="6"/>
      <c r="AFN390" s="6"/>
      <c r="AFO390" s="6"/>
      <c r="AFP390" s="6"/>
      <c r="AFQ390" s="6"/>
      <c r="AFR390" s="6"/>
      <c r="AFS390" s="6"/>
      <c r="AFT390" s="6"/>
      <c r="AFU390" s="6"/>
      <c r="AFV390" s="6"/>
      <c r="AFW390" s="6"/>
      <c r="AFX390" s="6"/>
      <c r="AFY390" s="6"/>
      <c r="AFZ390" s="6"/>
      <c r="AGA390" s="6"/>
      <c r="AGB390" s="6"/>
      <c r="AGC390" s="6"/>
      <c r="AGD390" s="6"/>
      <c r="AGE390" s="6"/>
      <c r="AGF390" s="6"/>
      <c r="AGG390" s="6"/>
      <c r="AGH390" s="6"/>
      <c r="AGI390" s="6"/>
      <c r="AGJ390" s="6"/>
      <c r="AGK390" s="6"/>
      <c r="AGL390" s="6"/>
      <c r="AGM390" s="6"/>
      <c r="AGN390" s="6"/>
      <c r="AGO390" s="6"/>
      <c r="AGP390" s="6"/>
      <c r="AGQ390" s="6"/>
      <c r="AGR390" s="6"/>
      <c r="AGS390" s="6"/>
      <c r="AGT390" s="6"/>
      <c r="AGU390" s="6"/>
      <c r="AGV390" s="6"/>
      <c r="AGW390" s="6"/>
      <c r="AGX390" s="6"/>
      <c r="AGY390" s="6"/>
      <c r="AGZ390" s="6"/>
      <c r="AHA390" s="6"/>
      <c r="AHB390" s="6"/>
      <c r="AHC390" s="6"/>
      <c r="AHD390" s="6"/>
      <c r="AHE390" s="6"/>
      <c r="AHF390" s="6"/>
      <c r="AHG390" s="6"/>
      <c r="AHH390" s="6"/>
      <c r="AHI390" s="6"/>
      <c r="AHJ390" s="6"/>
      <c r="AHK390" s="6"/>
      <c r="AHL390" s="6"/>
      <c r="AHM390" s="6"/>
      <c r="AHN390" s="6"/>
      <c r="AHO390" s="6"/>
      <c r="AHP390" s="6"/>
      <c r="AHQ390" s="6"/>
      <c r="AHR390" s="6"/>
      <c r="AHS390" s="6"/>
      <c r="AHT390" s="6"/>
      <c r="AHU390" s="6"/>
      <c r="AHV390" s="6"/>
      <c r="AHW390" s="6"/>
      <c r="AHX390" s="6"/>
      <c r="AHY390" s="6"/>
      <c r="AHZ390" s="6"/>
      <c r="AIA390" s="6"/>
      <c r="AIB390" s="6"/>
      <c r="AIC390" s="6"/>
      <c r="AID390" s="6"/>
      <c r="AIE390" s="6"/>
      <c r="AIF390" s="6"/>
      <c r="AIG390" s="6"/>
      <c r="AIH390" s="6"/>
      <c r="AII390" s="6"/>
      <c r="AIJ390" s="6"/>
      <c r="AIK390" s="6"/>
      <c r="AIL390" s="6"/>
      <c r="AIM390" s="6"/>
      <c r="AIN390" s="6"/>
      <c r="AIO390" s="6"/>
      <c r="AIP390" s="6"/>
      <c r="AIQ390" s="6"/>
      <c r="AIR390" s="6"/>
      <c r="AIS390" s="6"/>
      <c r="AIT390" s="6"/>
      <c r="AIU390" s="6"/>
      <c r="AIV390" s="6"/>
      <c r="AIW390" s="6"/>
      <c r="AIX390" s="6"/>
      <c r="AIY390" s="6"/>
      <c r="AIZ390" s="6"/>
      <c r="AJA390" s="6"/>
      <c r="AJB390" s="6"/>
      <c r="AJC390" s="6"/>
      <c r="AJD390" s="6"/>
      <c r="AJE390" s="6"/>
      <c r="AJF390" s="6"/>
      <c r="AJG390" s="6"/>
      <c r="AJH390" s="6"/>
      <c r="AJI390" s="6"/>
      <c r="AJJ390" s="6"/>
      <c r="AJK390" s="6"/>
      <c r="AJL390" s="6"/>
      <c r="AJM390" s="6"/>
      <c r="AJN390" s="6"/>
      <c r="AJO390" s="6"/>
      <c r="AJP390" s="6"/>
      <c r="AJQ390" s="6"/>
      <c r="AJR390" s="6"/>
      <c r="AJS390" s="6"/>
      <c r="AJT390" s="6"/>
      <c r="AJU390" s="6"/>
      <c r="AJV390" s="6"/>
      <c r="AJW390" s="6"/>
      <c r="AJX390" s="6"/>
      <c r="AJY390" s="6"/>
      <c r="AJZ390" s="6"/>
      <c r="AKA390" s="6"/>
      <c r="AKB390" s="6"/>
      <c r="AKC390" s="6"/>
      <c r="AKD390" s="6"/>
      <c r="AKE390" s="6"/>
      <c r="AKF390" s="6"/>
      <c r="AKG390" s="6"/>
      <c r="AKH390" s="6"/>
      <c r="AKI390" s="6"/>
      <c r="AKJ390" s="6"/>
      <c r="AKK390" s="6"/>
      <c r="AKL390" s="6"/>
      <c r="AKM390" s="6"/>
      <c r="AKN390" s="6"/>
      <c r="AKO390" s="6"/>
      <c r="AKP390" s="6"/>
      <c r="AKQ390" s="6"/>
      <c r="AKR390" s="6"/>
      <c r="AKS390" s="6"/>
      <c r="AKT390" s="6"/>
      <c r="AKU390" s="6"/>
      <c r="AKV390" s="6"/>
      <c r="AKW390" s="6"/>
      <c r="AKX390" s="6"/>
      <c r="AKY390" s="6"/>
      <c r="AKZ390" s="6"/>
      <c r="ALA390" s="6"/>
      <c r="ALB390" s="6"/>
      <c r="ALC390" s="6"/>
      <c r="ALD390" s="6"/>
      <c r="ALE390" s="6"/>
      <c r="ALF390" s="6"/>
      <c r="ALG390" s="6"/>
      <c r="ALH390" s="6"/>
      <c r="ALI390" s="6"/>
      <c r="ALJ390" s="6"/>
      <c r="ALK390" s="6"/>
      <c r="ALL390" s="6"/>
      <c r="ALM390" s="6"/>
      <c r="ALN390" s="6"/>
      <c r="ALO390" s="6"/>
      <c r="ALP390" s="6"/>
      <c r="ALQ390" s="6"/>
      <c r="ALR390" s="6"/>
      <c r="ALS390" s="6"/>
      <c r="ALT390" s="6"/>
      <c r="ALU390" s="6"/>
      <c r="ALV390" s="6"/>
      <c r="ALW390" s="6"/>
      <c r="ALX390" s="6"/>
      <c r="ALY390" s="6"/>
      <c r="ALZ390" s="6"/>
      <c r="AMA390" s="6"/>
      <c r="AMB390" s="6"/>
      <c r="AMC390" s="6"/>
      <c r="AMD390" s="6"/>
      <c r="AME390" s="6"/>
      <c r="AMF390" s="6"/>
      <c r="AMG390" s="6"/>
      <c r="AMH390" s="6"/>
      <c r="AMI390" s="6"/>
      <c r="AMJ390" s="6"/>
      <c r="AMK390" s="6"/>
      <c r="AML390" s="6"/>
      <c r="AMM390" s="6"/>
      <c r="AMN390" s="6"/>
      <c r="AMO390" s="6"/>
      <c r="AMP390" s="6"/>
    </row>
    <row r="391" spans="1:1030" x14ac:dyDescent="0.2">
      <c r="A391" s="9" t="str">
        <f t="shared" ref="A391:A392" si="3327">CONCATENATE(B391,"_",C391)</f>
        <v>ta2r_human__wt</v>
      </c>
      <c r="B391" s="40" t="s">
        <v>467</v>
      </c>
      <c r="C391" s="9" t="s">
        <v>100</v>
      </c>
      <c r="D391" s="9" t="str">
        <f>IFERROR(MID(VLOOKUP($B391,Seqs!$A:$B,2,0),E391,1),"")</f>
        <v>S</v>
      </c>
      <c r="E391" s="9">
        <v>27</v>
      </c>
      <c r="F391" s="9" t="str">
        <f>IFERROR(MID(VLOOKUP($B391,Seqs!$A:$B,2,0),G391,1),"")</f>
        <v>Q</v>
      </c>
      <c r="G391" s="9">
        <v>54</v>
      </c>
      <c r="H391" s="9" t="str">
        <f>IFERROR(MID(VLOOKUP($B391,Seqs!$A:$B,2,0),I391,1),"")</f>
        <v/>
      </c>
      <c r="I391" s="109" t="s">
        <v>23</v>
      </c>
      <c r="J391" s="9" t="str">
        <f>IFERROR(MID(VLOOKUP($B391,Seqs!$A:$B,2,0),K391,1),"")</f>
        <v/>
      </c>
      <c r="K391" s="109" t="s">
        <v>23</v>
      </c>
      <c r="L391" s="9" t="str">
        <f>IFERROR(MID(VLOOKUP($B391,Seqs!$A:$B,2,0),M391,1),"")</f>
        <v>S</v>
      </c>
      <c r="M391" s="9">
        <v>61</v>
      </c>
      <c r="N391" s="9" t="str">
        <f>IFERROR(MID(VLOOKUP($B391,Seqs!$A:$B,2,0),O391,1),"")</f>
        <v>A</v>
      </c>
      <c r="O391" s="9">
        <v>91</v>
      </c>
      <c r="P391" s="9" t="str">
        <f>IFERROR(MID(VLOOKUP($B391,Seqs!$A:$B,2,0),Q391,1),"")</f>
        <v>E</v>
      </c>
      <c r="Q391" s="9">
        <v>94</v>
      </c>
      <c r="R391" s="9" t="str">
        <f>IFERROR(MID(VLOOKUP($B391,Seqs!$A:$B,2,0),S391,1),"")</f>
        <v>V</v>
      </c>
      <c r="S391" s="9">
        <v>98</v>
      </c>
      <c r="T391" s="9" t="str">
        <f>IFERROR(MID(VLOOKUP($B391,Seqs!$A:$B,2,0),U391,1),"")</f>
        <v>C</v>
      </c>
      <c r="U391" s="9">
        <v>102</v>
      </c>
      <c r="V391" s="9" t="str">
        <f>IFERROR(MID(VLOOKUP($B391,Seqs!$A:$B,2,0),W391,1),"")</f>
        <v>R</v>
      </c>
      <c r="W391" s="9">
        <v>136</v>
      </c>
      <c r="X391" s="9" t="str">
        <f>IFERROR(MID(VLOOKUP($B391,Seqs!$A:$B,2,0),Y391,1),"")</f>
        <v>P</v>
      </c>
      <c r="Y391" s="9">
        <v>137</v>
      </c>
      <c r="Z391" s="9" t="str">
        <f>IFERROR(MID(VLOOKUP($B391,Seqs!$A:$B,2,0),AA391,1),"")</f>
        <v>A</v>
      </c>
      <c r="AA391" s="9">
        <v>144</v>
      </c>
      <c r="AB391" s="9" t="str">
        <f>IFERROR(MID(VLOOKUP($B391,Seqs!$A:$B,2,0),AC391,1),"")</f>
        <v>S</v>
      </c>
      <c r="AC391" s="9">
        <v>145</v>
      </c>
      <c r="AD391" s="9" t="str">
        <f>IFERROR(MID(VLOOKUP($B391,Seqs!$A:$B,2,0),AE391,1),"")</f>
        <v>G</v>
      </c>
      <c r="AE391" s="9">
        <v>170</v>
      </c>
      <c r="AF391" s="9" t="str">
        <f>IFERROR(MID(VLOOKUP($B391,Seqs!$A:$B,2,0),AG391,1),"")</f>
        <v>C</v>
      </c>
      <c r="AG391" s="9">
        <v>183</v>
      </c>
      <c r="AH391" s="9" t="str">
        <f>IFERROR(MID(VLOOKUP($B391,Seqs!$A:$B,2,0),AI391,1),"")</f>
        <v>L</v>
      </c>
      <c r="AI391" s="9">
        <v>185</v>
      </c>
      <c r="AJ391" s="9" t="str">
        <f>IFERROR(MID(VLOOKUP($B391,Seqs!$A:$B,2,0),AK391,1),"")</f>
        <v>E</v>
      </c>
      <c r="AK391" s="9">
        <v>190</v>
      </c>
      <c r="AL391" s="9" t="str">
        <f>IFERROR(MID(VLOOKUP($B391,Seqs!$A:$B,2,0),AM391,1),"")</f>
        <v>P</v>
      </c>
      <c r="AM391" s="9">
        <v>236</v>
      </c>
      <c r="AN391" s="9" t="str">
        <f>IFERROR(MID(VLOOKUP($B391,Seqs!$A:$B,2,0),AO391,1),"")</f>
        <v>E</v>
      </c>
      <c r="AO391" s="9">
        <v>240</v>
      </c>
      <c r="AP391" s="9" t="str">
        <f>IFERROR(MID(VLOOKUP($B391,Seqs!$A:$B,2,0),AQ391,1),"")</f>
        <v>R</v>
      </c>
      <c r="AQ391" s="9">
        <v>271</v>
      </c>
      <c r="AR391" s="9" t="str">
        <f>IFERROR(MID(VLOOKUP($B391,Seqs!$A:$B,2,0),AS391,1),"")</f>
        <v>S</v>
      </c>
      <c r="AS391" s="9">
        <v>283</v>
      </c>
      <c r="AT391" s="9" t="str">
        <f>IFERROR(MID(VLOOKUP($B391,Seqs!$A:$B,2,0),AU391,1),"")</f>
        <v>F</v>
      </c>
      <c r="AU391" s="9">
        <v>311</v>
      </c>
      <c r="AV391" s="9" t="str">
        <f>IFERROR(MID(VLOOKUP($B391,Seqs!$A:$B,2,0),AW391,1),"")</f>
        <v>R</v>
      </c>
      <c r="AW391" s="9">
        <v>312</v>
      </c>
      <c r="AX391" s="9" t="str">
        <f>IFERROR(MID(VLOOKUP($B391,Seqs!$A:$B,2,0),AY391,1),"")</f>
        <v>S</v>
      </c>
      <c r="AY391" s="9">
        <v>331</v>
      </c>
      <c r="AZ391" s="110" t="str">
        <f>VLOOKUP(B391,Classification!A:D,2,0)</f>
        <v>A</v>
      </c>
      <c r="BA391" s="98" t="str">
        <f>VLOOKUP(B391,Classification!A:D,4,0)</f>
        <v>Prostanoid</v>
      </c>
      <c r="BB391" s="36" t="b">
        <f t="shared" ref="BB391:BB392" si="3328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:BC392" si="3329">_xlfn.AGGREGATE(9,6,CH391:CS391)-_xlfn.AGGREGATE(9,6,BV391:CG391)+12</f>
        <v>265</v>
      </c>
      <c r="BD391" s="11" t="s">
        <v>23</v>
      </c>
      <c r="BE391" s="9" t="s">
        <v>23</v>
      </c>
      <c r="BF391" s="119" t="s">
        <v>23</v>
      </c>
      <c r="BG391" s="51" t="s">
        <v>1</v>
      </c>
      <c r="BH391" s="51" t="s">
        <v>1</v>
      </c>
      <c r="BI391" s="12"/>
      <c r="BJ391" s="111" t="s">
        <v>1281</v>
      </c>
      <c r="BK391" s="112" t="s">
        <v>1281</v>
      </c>
      <c r="BL391" s="112" t="s">
        <v>1281</v>
      </c>
      <c r="BM391" s="112" t="s">
        <v>1281</v>
      </c>
      <c r="BN391" s="112" t="s">
        <v>1281</v>
      </c>
      <c r="BO391" s="112" t="s">
        <v>1281</v>
      </c>
      <c r="BP391" s="112" t="s">
        <v>1281</v>
      </c>
      <c r="BQ391" s="112" t="s">
        <v>1281</v>
      </c>
      <c r="BR391" s="112" t="s">
        <v>1281</v>
      </c>
      <c r="BS391" s="112" t="s">
        <v>1281</v>
      </c>
      <c r="BT391" s="112" t="s">
        <v>1281</v>
      </c>
      <c r="BU391" s="112" t="s">
        <v>1281</v>
      </c>
      <c r="BV391" s="111">
        <f t="shared" ref="BV391:BV392" si="3330">E391</f>
        <v>27</v>
      </c>
      <c r="BW391" s="113" t="str">
        <f t="shared" ref="BW391:BW392" si="3331">I391</f>
        <v>-</v>
      </c>
      <c r="BX391" s="114">
        <f t="shared" ref="BX391:BX392" si="3332">M391</f>
        <v>61</v>
      </c>
      <c r="BY391" s="113">
        <f t="shared" ref="BY391:BY392" si="3333">Q391</f>
        <v>94</v>
      </c>
      <c r="BZ391" s="114">
        <f t="shared" ref="BZ391:BZ392" si="3334">U391</f>
        <v>102</v>
      </c>
      <c r="CA391" s="113">
        <f t="shared" ref="CA391:CA392" si="3335">Y391</f>
        <v>137</v>
      </c>
      <c r="CB391" s="114">
        <f t="shared" ref="CB391:CB392" si="3336">AC391</f>
        <v>145</v>
      </c>
      <c r="CC391" s="113">
        <f t="shared" ref="CC391:CC392" si="3337">AG391</f>
        <v>183</v>
      </c>
      <c r="CD391" s="114">
        <f t="shared" ref="CD391:CD392" si="3338">AK391</f>
        <v>190</v>
      </c>
      <c r="CE391" s="113">
        <f t="shared" ref="CE391:CE392" si="3339">AO391</f>
        <v>240</v>
      </c>
      <c r="CF391" s="114">
        <f t="shared" ref="CF391:CF392" si="3340">AS391</f>
        <v>283</v>
      </c>
      <c r="CG391" s="113">
        <f t="shared" ref="CG391:CG392" si="3341">AW391</f>
        <v>312</v>
      </c>
      <c r="CH391" s="111">
        <f t="shared" ref="CH391:CH392" si="3342">G391</f>
        <v>54</v>
      </c>
      <c r="CI391" s="113" t="str">
        <f t="shared" ref="CI391:CI392" si="3343">K391</f>
        <v>-</v>
      </c>
      <c r="CJ391" s="114">
        <f t="shared" ref="CJ391:CJ392" si="3344">O391</f>
        <v>91</v>
      </c>
      <c r="CK391" s="114">
        <f t="shared" ref="CK391:CK392" si="3345">S391</f>
        <v>98</v>
      </c>
      <c r="CL391" s="114">
        <f t="shared" ref="CL391:CL392" si="3346">W391</f>
        <v>136</v>
      </c>
      <c r="CM391" s="114">
        <f t="shared" ref="CM391:CM392" si="3347">AA391</f>
        <v>144</v>
      </c>
      <c r="CN391" s="114">
        <f t="shared" ref="CN391:CN392" si="3348">AE391</f>
        <v>170</v>
      </c>
      <c r="CO391" s="114">
        <f t="shared" ref="CO391:CO392" si="3349">AI391</f>
        <v>185</v>
      </c>
      <c r="CP391" s="114">
        <f t="shared" ref="CP391:CP392" si="3350">AM391</f>
        <v>236</v>
      </c>
      <c r="CQ391" s="114">
        <f t="shared" ref="CQ391:CQ392" si="3351">AQ391</f>
        <v>271</v>
      </c>
      <c r="CR391" s="114">
        <f t="shared" ref="CR391:CR392" si="3352">AU391</f>
        <v>311</v>
      </c>
      <c r="CS391" s="114">
        <f t="shared" ref="CS391:CS392" si="3353">AY391</f>
        <v>331</v>
      </c>
      <c r="CT391" s="109" t="e">
        <f t="shared" ref="CT391:CT392" si="3354">M391-K391</f>
        <v>#VALUE!</v>
      </c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6"/>
      <c r="ACQ391" s="6"/>
      <c r="ACR391" s="6"/>
      <c r="ACS391" s="6"/>
      <c r="ACT391" s="6"/>
      <c r="ACU391" s="6"/>
      <c r="ACV391" s="6"/>
      <c r="ACW391" s="6"/>
      <c r="ACX391" s="6"/>
      <c r="ACY391" s="6"/>
      <c r="ACZ391" s="6"/>
      <c r="ADA391" s="6"/>
      <c r="ADB391" s="6"/>
      <c r="ADC391" s="6"/>
      <c r="ADD391" s="6"/>
      <c r="ADE391" s="6"/>
      <c r="ADF391" s="6"/>
      <c r="ADG391" s="6"/>
      <c r="ADH391" s="6"/>
      <c r="ADI391" s="6"/>
      <c r="ADJ391" s="6"/>
      <c r="ADK391" s="6"/>
      <c r="ADL391" s="6"/>
      <c r="ADM391" s="6"/>
      <c r="ADN391" s="6"/>
      <c r="ADO391" s="6"/>
      <c r="ADP391" s="6"/>
      <c r="ADQ391" s="6"/>
      <c r="ADR391" s="6"/>
      <c r="ADS391" s="6"/>
      <c r="ADT391" s="6"/>
      <c r="ADU391" s="6"/>
      <c r="ADV391" s="6"/>
      <c r="ADW391" s="6"/>
      <c r="ADX391" s="6"/>
      <c r="ADY391" s="6"/>
      <c r="ADZ391" s="6"/>
      <c r="AEA391" s="6"/>
      <c r="AEB391" s="6"/>
      <c r="AEC391" s="6"/>
      <c r="AED391" s="6"/>
      <c r="AEE391" s="6"/>
      <c r="AEF391" s="6"/>
      <c r="AEG391" s="6"/>
      <c r="AEH391" s="6"/>
      <c r="AEI391" s="6"/>
      <c r="AEJ391" s="6"/>
      <c r="AEK391" s="6"/>
      <c r="AEL391" s="6"/>
      <c r="AEM391" s="6"/>
      <c r="AEN391" s="6"/>
      <c r="AEO391" s="6"/>
      <c r="AEP391" s="6"/>
      <c r="AEQ391" s="6"/>
      <c r="AER391" s="6"/>
      <c r="AES391" s="6"/>
      <c r="AET391" s="6"/>
      <c r="AEU391" s="6"/>
      <c r="AEV391" s="6"/>
      <c r="AEW391" s="6"/>
      <c r="AEX391" s="6"/>
      <c r="AEY391" s="6"/>
      <c r="AEZ391" s="6"/>
      <c r="AFA391" s="6"/>
      <c r="AFB391" s="6"/>
      <c r="AFC391" s="6"/>
      <c r="AFD391" s="6"/>
      <c r="AFE391" s="6"/>
      <c r="AFF391" s="6"/>
      <c r="AFG391" s="6"/>
      <c r="AFH391" s="6"/>
      <c r="AFI391" s="6"/>
      <c r="AFJ391" s="6"/>
      <c r="AFK391" s="6"/>
      <c r="AFL391" s="6"/>
      <c r="AFM391" s="6"/>
      <c r="AFN391" s="6"/>
      <c r="AFO391" s="6"/>
      <c r="AFP391" s="6"/>
      <c r="AFQ391" s="6"/>
      <c r="AFR391" s="6"/>
      <c r="AFS391" s="6"/>
      <c r="AFT391" s="6"/>
      <c r="AFU391" s="6"/>
      <c r="AFV391" s="6"/>
      <c r="AFW391" s="6"/>
      <c r="AFX391" s="6"/>
      <c r="AFY391" s="6"/>
      <c r="AFZ391" s="6"/>
      <c r="AGA391" s="6"/>
      <c r="AGB391" s="6"/>
      <c r="AGC391" s="6"/>
      <c r="AGD391" s="6"/>
      <c r="AGE391" s="6"/>
      <c r="AGF391" s="6"/>
      <c r="AGG391" s="6"/>
      <c r="AGH391" s="6"/>
      <c r="AGI391" s="6"/>
      <c r="AGJ391" s="6"/>
      <c r="AGK391" s="6"/>
      <c r="AGL391" s="6"/>
      <c r="AGM391" s="6"/>
      <c r="AGN391" s="6"/>
      <c r="AGO391" s="6"/>
      <c r="AGP391" s="6"/>
      <c r="AGQ391" s="6"/>
      <c r="AGR391" s="6"/>
      <c r="AGS391" s="6"/>
      <c r="AGT391" s="6"/>
      <c r="AGU391" s="6"/>
      <c r="AGV391" s="6"/>
      <c r="AGW391" s="6"/>
      <c r="AGX391" s="6"/>
      <c r="AGY391" s="6"/>
      <c r="AGZ391" s="6"/>
      <c r="AHA391" s="6"/>
      <c r="AHB391" s="6"/>
      <c r="AHC391" s="6"/>
      <c r="AHD391" s="6"/>
      <c r="AHE391" s="6"/>
      <c r="AHF391" s="6"/>
      <c r="AHG391" s="6"/>
      <c r="AHH391" s="6"/>
      <c r="AHI391" s="6"/>
      <c r="AHJ391" s="6"/>
      <c r="AHK391" s="6"/>
      <c r="AHL391" s="6"/>
      <c r="AHM391" s="6"/>
      <c r="AHN391" s="6"/>
      <c r="AHO391" s="6"/>
      <c r="AHP391" s="6"/>
      <c r="AHQ391" s="6"/>
      <c r="AHR391" s="6"/>
      <c r="AHS391" s="6"/>
      <c r="AHT391" s="6"/>
      <c r="AHU391" s="6"/>
      <c r="AHV391" s="6"/>
      <c r="AHW391" s="6"/>
      <c r="AHX391" s="6"/>
      <c r="AHY391" s="6"/>
      <c r="AHZ391" s="6"/>
      <c r="AIA391" s="6"/>
      <c r="AIB391" s="6"/>
      <c r="AIC391" s="6"/>
      <c r="AID391" s="6"/>
      <c r="AIE391" s="6"/>
      <c r="AIF391" s="6"/>
      <c r="AIG391" s="6"/>
      <c r="AIH391" s="6"/>
      <c r="AII391" s="6"/>
      <c r="AIJ391" s="6"/>
      <c r="AIK391" s="6"/>
      <c r="AIL391" s="6"/>
      <c r="AIM391" s="6"/>
      <c r="AIN391" s="6"/>
      <c r="AIO391" s="6"/>
      <c r="AIP391" s="6"/>
      <c r="AIQ391" s="6"/>
      <c r="AIR391" s="6"/>
      <c r="AIS391" s="6"/>
      <c r="AIT391" s="6"/>
      <c r="AIU391" s="6"/>
      <c r="AIV391" s="6"/>
      <c r="AIW391" s="6"/>
      <c r="AIX391" s="6"/>
      <c r="AIY391" s="6"/>
      <c r="AIZ391" s="6"/>
      <c r="AJA391" s="6"/>
      <c r="AJB391" s="6"/>
      <c r="AJC391" s="6"/>
      <c r="AJD391" s="6"/>
      <c r="AJE391" s="6"/>
      <c r="AJF391" s="6"/>
      <c r="AJG391" s="6"/>
      <c r="AJH391" s="6"/>
      <c r="AJI391" s="6"/>
      <c r="AJJ391" s="6"/>
      <c r="AJK391" s="6"/>
      <c r="AJL391" s="6"/>
      <c r="AJM391" s="6"/>
      <c r="AJN391" s="6"/>
      <c r="AJO391" s="6"/>
      <c r="AJP391" s="6"/>
      <c r="AJQ391" s="6"/>
      <c r="AJR391" s="6"/>
      <c r="AJS391" s="6"/>
      <c r="AJT391" s="6"/>
      <c r="AJU391" s="6"/>
      <c r="AJV391" s="6"/>
      <c r="AJW391" s="6"/>
      <c r="AJX391" s="6"/>
      <c r="AJY391" s="6"/>
      <c r="AJZ391" s="6"/>
      <c r="AKA391" s="6"/>
      <c r="AKB391" s="6"/>
      <c r="AKC391" s="6"/>
      <c r="AKD391" s="6"/>
      <c r="AKE391" s="6"/>
      <c r="AKF391" s="6"/>
      <c r="AKG391" s="6"/>
      <c r="AKH391" s="6"/>
      <c r="AKI391" s="6"/>
      <c r="AKJ391" s="6"/>
      <c r="AKK391" s="6"/>
      <c r="AKL391" s="6"/>
      <c r="AKM391" s="6"/>
      <c r="AKN391" s="6"/>
      <c r="AKO391" s="6"/>
      <c r="AKP391" s="6"/>
      <c r="AKQ391" s="6"/>
      <c r="AKR391" s="6"/>
      <c r="AKS391" s="6"/>
      <c r="AKT391" s="6"/>
      <c r="AKU391" s="6"/>
      <c r="AKV391" s="6"/>
      <c r="AKW391" s="6"/>
      <c r="AKX391" s="6"/>
      <c r="AKY391" s="6"/>
      <c r="AKZ391" s="6"/>
      <c r="ALA391" s="6"/>
      <c r="ALB391" s="6"/>
      <c r="ALC391" s="6"/>
      <c r="ALD391" s="6"/>
      <c r="ALE391" s="6"/>
      <c r="ALF391" s="6"/>
      <c r="ALG391" s="6"/>
      <c r="ALH391" s="6"/>
      <c r="ALI391" s="6"/>
      <c r="ALJ391" s="6"/>
      <c r="ALK391" s="6"/>
      <c r="ALL391" s="6"/>
      <c r="ALM391" s="6"/>
      <c r="ALN391" s="6"/>
      <c r="ALO391" s="6"/>
      <c r="ALP391" s="6"/>
      <c r="ALQ391" s="6"/>
      <c r="ALR391" s="6"/>
      <c r="ALS391" s="6"/>
      <c r="ALT391" s="6"/>
      <c r="ALU391" s="6"/>
      <c r="ALV391" s="6"/>
      <c r="ALW391" s="6"/>
      <c r="ALX391" s="6"/>
      <c r="ALY391" s="6"/>
      <c r="ALZ391" s="6"/>
      <c r="AMA391" s="6"/>
      <c r="AMB391" s="6"/>
      <c r="AMC391" s="6"/>
      <c r="AMD391" s="6"/>
      <c r="AME391" s="6"/>
      <c r="AMF391" s="6"/>
      <c r="AMG391" s="6"/>
      <c r="AMH391" s="6"/>
      <c r="AMI391" s="6"/>
      <c r="AMJ391" s="6"/>
      <c r="AMK391" s="6"/>
      <c r="AML391" s="6"/>
      <c r="AMM391" s="6"/>
      <c r="AMN391" s="6"/>
      <c r="AMO391" s="6"/>
      <c r="AMP391" s="6"/>
    </row>
    <row r="392" spans="1:1030" x14ac:dyDescent="0.2">
      <c r="A392" s="9" t="str">
        <f t="shared" si="3327"/>
        <v>ta2r_human_6IIU</v>
      </c>
      <c r="B392" s="40" t="s">
        <v>467</v>
      </c>
      <c r="C392" s="9" t="s">
        <v>1542</v>
      </c>
      <c r="D392" s="9" t="str">
        <f>IFERROR(MID(VLOOKUP($B392,Seqs!$A:$B,2,0),E392,1),"")</f>
        <v>S</v>
      </c>
      <c r="E392" s="9">
        <v>27</v>
      </c>
      <c r="F392" s="9" t="str">
        <f>IFERROR(MID(VLOOKUP($B392,Seqs!$A:$B,2,0),G392,1),"")</f>
        <v>A</v>
      </c>
      <c r="G392" s="9">
        <v>52</v>
      </c>
      <c r="H392" s="9" t="str">
        <f>IFERROR(MID(VLOOKUP($B392,Seqs!$A:$B,2,0),I392,1),"")</f>
        <v/>
      </c>
      <c r="I392" s="109" t="s">
        <v>23</v>
      </c>
      <c r="J392" s="9" t="str">
        <f>IFERROR(MID(VLOOKUP($B392,Seqs!$A:$B,2,0),K392,1),"")</f>
        <v/>
      </c>
      <c r="K392" s="109" t="s">
        <v>23</v>
      </c>
      <c r="L392" s="9" t="str">
        <f>IFERROR(MID(VLOOKUP($B392,Seqs!$A:$B,2,0),M392,1),"")</f>
        <v>S</v>
      </c>
      <c r="M392" s="9">
        <v>61</v>
      </c>
      <c r="N392" s="9" t="str">
        <f>IFERROR(MID(VLOOKUP($B392,Seqs!$A:$B,2,0),O392,1),"")</f>
        <v>A</v>
      </c>
      <c r="O392" s="9">
        <v>91</v>
      </c>
      <c r="P392" s="9" t="str">
        <f>IFERROR(MID(VLOOKUP($B392,Seqs!$A:$B,2,0),Q392,1),"")</f>
        <v>E</v>
      </c>
      <c r="Q392" s="9">
        <v>94</v>
      </c>
      <c r="R392" s="9" t="str">
        <f>IFERROR(MID(VLOOKUP($B392,Seqs!$A:$B,2,0),S392,1),"")</f>
        <v>V</v>
      </c>
      <c r="S392" s="9">
        <v>98</v>
      </c>
      <c r="T392" s="9" t="str">
        <f>IFERROR(MID(VLOOKUP($B392,Seqs!$A:$B,2,0),U392,1),"")</f>
        <v>C</v>
      </c>
      <c r="U392" s="9">
        <v>102</v>
      </c>
      <c r="V392" s="9" t="str">
        <f>IFERROR(MID(VLOOKUP($B392,Seqs!$A:$B,2,0),W392,1),"")</f>
        <v>R</v>
      </c>
      <c r="W392" s="9">
        <v>136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A</v>
      </c>
      <c r="AC392" s="9">
        <v>142</v>
      </c>
      <c r="AD392" s="9" t="str">
        <f>IFERROR(MID(VLOOKUP($B392,Seqs!$A:$B,2,0),AE392,1),"")</f>
        <v>L</v>
      </c>
      <c r="AE392" s="9">
        <v>169</v>
      </c>
      <c r="AF392" s="9" t="str">
        <f>IFERROR(MID(VLOOKUP($B392,Seqs!$A:$B,2,0),AG392,1),"")</f>
        <v>C</v>
      </c>
      <c r="AG392" s="9">
        <v>183</v>
      </c>
      <c r="AH392" s="9" t="str">
        <f>IFERROR(MID(VLOOKUP($B392,Seqs!$A:$B,2,0),AI392,1),"")</f>
        <v>L</v>
      </c>
      <c r="AI392" s="9">
        <v>185</v>
      </c>
      <c r="AJ392" s="9" t="str">
        <f>IFERROR(MID(VLOOKUP($B392,Seqs!$A:$B,2,0),AK392,1),"")</f>
        <v>E</v>
      </c>
      <c r="AK392" s="9">
        <v>190</v>
      </c>
      <c r="AL392" s="9" t="str">
        <f>IFERROR(MID(VLOOKUP($B392,Seqs!$A:$B,2,0),AM392,1),"")</f>
        <v>Y</v>
      </c>
      <c r="AM392" s="9">
        <v>226</v>
      </c>
      <c r="AN392" s="9" t="str">
        <f>IFERROR(MID(VLOOKUP($B392,Seqs!$A:$B,2,0),AO392,1),"")</f>
        <v>R</v>
      </c>
      <c r="AO392" s="9">
        <v>237</v>
      </c>
      <c r="AP392" s="9" t="str">
        <f>IFERROR(MID(VLOOKUP($B392,Seqs!$A:$B,2,0),AQ392,1),"")</f>
        <v>R</v>
      </c>
      <c r="AQ392" s="9">
        <v>271</v>
      </c>
      <c r="AR392" s="9" t="str">
        <f>IFERROR(MID(VLOOKUP($B392,Seqs!$A:$B,2,0),AS392,1),"")</f>
        <v>S</v>
      </c>
      <c r="AS392" s="9">
        <v>283</v>
      </c>
      <c r="AT392" s="9" t="str">
        <f>IFERROR(MID(VLOOKUP($B392,Seqs!$A:$B,2,0),AU392,1),"")</f>
        <v>F</v>
      </c>
      <c r="AU392" s="9">
        <v>311</v>
      </c>
      <c r="AV392" s="9" t="str">
        <f>IFERROR(MID(VLOOKUP($B392,Seqs!$A:$B,2,0),AW392,1),"")</f>
        <v>R</v>
      </c>
      <c r="AW392" s="9">
        <v>312</v>
      </c>
      <c r="AX392" s="9" t="str">
        <f>IFERROR(MID(VLOOKUP($B392,Seqs!$A:$B,2,0),AY392,1),"")</f>
        <v>Q</v>
      </c>
      <c r="AY392" s="9">
        <v>320</v>
      </c>
      <c r="AZ392" s="110" t="str">
        <f>VLOOKUP(B392,Classification!A:D,2,0)</f>
        <v>A</v>
      </c>
      <c r="BA392" s="98" t="str">
        <f>VLOOKUP(B392,Classification!A:D,4,0)</f>
        <v>Prostanoid</v>
      </c>
      <c r="BB392" s="36" t="b">
        <f t="shared" si="3328"/>
        <v>1</v>
      </c>
      <c r="BC392" s="109">
        <f t="shared" si="3329"/>
        <v>240</v>
      </c>
      <c r="BD392" s="11" t="s">
        <v>23</v>
      </c>
      <c r="BE392" s="9" t="s">
        <v>1368</v>
      </c>
      <c r="BF392" s="119">
        <v>2.5</v>
      </c>
      <c r="BG392" s="51" t="s">
        <v>1</v>
      </c>
      <c r="BH392" s="51" t="s">
        <v>1</v>
      </c>
      <c r="BI392" s="12"/>
      <c r="BJ392" s="111" t="s">
        <v>1281</v>
      </c>
      <c r="BK392" s="112" t="s">
        <v>1281</v>
      </c>
      <c r="BL392" s="112" t="s">
        <v>1281</v>
      </c>
      <c r="BM392" s="112" t="s">
        <v>1281</v>
      </c>
      <c r="BN392" s="112" t="s">
        <v>1281</v>
      </c>
      <c r="BO392" s="112" t="s">
        <v>1281</v>
      </c>
      <c r="BP392" s="112" t="s">
        <v>1281</v>
      </c>
      <c r="BQ392" s="112" t="s">
        <v>1281</v>
      </c>
      <c r="BR392" s="112" t="s">
        <v>1281</v>
      </c>
      <c r="BS392" s="112" t="s">
        <v>1281</v>
      </c>
      <c r="BT392" s="112" t="s">
        <v>1281</v>
      </c>
      <c r="BU392" s="112" t="s">
        <v>1281</v>
      </c>
      <c r="BV392" s="111">
        <f t="shared" si="3330"/>
        <v>27</v>
      </c>
      <c r="BW392" s="113" t="str">
        <f t="shared" si="3331"/>
        <v>-</v>
      </c>
      <c r="BX392" s="114">
        <f t="shared" si="3332"/>
        <v>61</v>
      </c>
      <c r="BY392" s="113">
        <f t="shared" si="3333"/>
        <v>94</v>
      </c>
      <c r="BZ392" s="114">
        <f t="shared" si="3334"/>
        <v>102</v>
      </c>
      <c r="CA392" s="113" t="str">
        <f t="shared" si="3335"/>
        <v>-</v>
      </c>
      <c r="CB392" s="114">
        <f t="shared" si="3336"/>
        <v>142</v>
      </c>
      <c r="CC392" s="113">
        <f t="shared" si="3337"/>
        <v>183</v>
      </c>
      <c r="CD392" s="114">
        <f t="shared" si="3338"/>
        <v>190</v>
      </c>
      <c r="CE392" s="113">
        <f t="shared" si="3339"/>
        <v>237</v>
      </c>
      <c r="CF392" s="114">
        <f t="shared" si="3340"/>
        <v>283</v>
      </c>
      <c r="CG392" s="113">
        <f t="shared" si="3341"/>
        <v>312</v>
      </c>
      <c r="CH392" s="111">
        <f t="shared" si="3342"/>
        <v>52</v>
      </c>
      <c r="CI392" s="113" t="str">
        <f t="shared" si="3343"/>
        <v>-</v>
      </c>
      <c r="CJ392" s="114">
        <f t="shared" si="3344"/>
        <v>91</v>
      </c>
      <c r="CK392" s="114">
        <f t="shared" si="3345"/>
        <v>98</v>
      </c>
      <c r="CL392" s="114">
        <f t="shared" si="3346"/>
        <v>136</v>
      </c>
      <c r="CM392" s="114" t="str">
        <f t="shared" si="3347"/>
        <v>-</v>
      </c>
      <c r="CN392" s="114">
        <f t="shared" si="3348"/>
        <v>169</v>
      </c>
      <c r="CO392" s="114">
        <f t="shared" si="3349"/>
        <v>185</v>
      </c>
      <c r="CP392" s="114">
        <f t="shared" si="3350"/>
        <v>226</v>
      </c>
      <c r="CQ392" s="114">
        <f t="shared" si="3351"/>
        <v>271</v>
      </c>
      <c r="CR392" s="114">
        <f t="shared" si="3352"/>
        <v>311</v>
      </c>
      <c r="CS392" s="114">
        <f t="shared" si="3353"/>
        <v>320</v>
      </c>
      <c r="CT392" s="109" t="e">
        <f t="shared" si="3354"/>
        <v>#VALUE!</v>
      </c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6"/>
      <c r="ACQ392" s="6"/>
      <c r="ACR392" s="6"/>
      <c r="ACS392" s="6"/>
      <c r="ACT392" s="6"/>
      <c r="ACU392" s="6"/>
      <c r="ACV392" s="6"/>
      <c r="ACW392" s="6"/>
      <c r="ACX392" s="6"/>
      <c r="ACY392" s="6"/>
      <c r="ACZ392" s="6"/>
      <c r="ADA392" s="6"/>
      <c r="ADB392" s="6"/>
      <c r="ADC392" s="6"/>
      <c r="ADD392" s="6"/>
      <c r="ADE392" s="6"/>
      <c r="ADF392" s="6"/>
      <c r="ADG392" s="6"/>
      <c r="ADH392" s="6"/>
      <c r="ADI392" s="6"/>
      <c r="ADJ392" s="6"/>
      <c r="ADK392" s="6"/>
      <c r="ADL392" s="6"/>
      <c r="ADM392" s="6"/>
      <c r="ADN392" s="6"/>
      <c r="ADO392" s="6"/>
      <c r="ADP392" s="6"/>
      <c r="ADQ392" s="6"/>
      <c r="ADR392" s="6"/>
      <c r="ADS392" s="6"/>
      <c r="ADT392" s="6"/>
      <c r="ADU392" s="6"/>
      <c r="ADV392" s="6"/>
      <c r="ADW392" s="6"/>
      <c r="ADX392" s="6"/>
      <c r="ADY392" s="6"/>
      <c r="ADZ392" s="6"/>
      <c r="AEA392" s="6"/>
      <c r="AEB392" s="6"/>
      <c r="AEC392" s="6"/>
      <c r="AED392" s="6"/>
      <c r="AEE392" s="6"/>
      <c r="AEF392" s="6"/>
      <c r="AEG392" s="6"/>
      <c r="AEH392" s="6"/>
      <c r="AEI392" s="6"/>
      <c r="AEJ392" s="6"/>
      <c r="AEK392" s="6"/>
      <c r="AEL392" s="6"/>
      <c r="AEM392" s="6"/>
      <c r="AEN392" s="6"/>
      <c r="AEO392" s="6"/>
      <c r="AEP392" s="6"/>
      <c r="AEQ392" s="6"/>
      <c r="AER392" s="6"/>
      <c r="AES392" s="6"/>
      <c r="AET392" s="6"/>
      <c r="AEU392" s="6"/>
      <c r="AEV392" s="6"/>
      <c r="AEW392" s="6"/>
      <c r="AEX392" s="6"/>
      <c r="AEY392" s="6"/>
      <c r="AEZ392" s="6"/>
      <c r="AFA392" s="6"/>
      <c r="AFB392" s="6"/>
      <c r="AFC392" s="6"/>
      <c r="AFD392" s="6"/>
      <c r="AFE392" s="6"/>
      <c r="AFF392" s="6"/>
      <c r="AFG392" s="6"/>
      <c r="AFH392" s="6"/>
      <c r="AFI392" s="6"/>
      <c r="AFJ392" s="6"/>
      <c r="AFK392" s="6"/>
      <c r="AFL392" s="6"/>
      <c r="AFM392" s="6"/>
      <c r="AFN392" s="6"/>
      <c r="AFO392" s="6"/>
      <c r="AFP392" s="6"/>
      <c r="AFQ392" s="6"/>
      <c r="AFR392" s="6"/>
      <c r="AFS392" s="6"/>
      <c r="AFT392" s="6"/>
      <c r="AFU392" s="6"/>
      <c r="AFV392" s="6"/>
      <c r="AFW392" s="6"/>
      <c r="AFX392" s="6"/>
      <c r="AFY392" s="6"/>
      <c r="AFZ392" s="6"/>
      <c r="AGA392" s="6"/>
      <c r="AGB392" s="6"/>
      <c r="AGC392" s="6"/>
      <c r="AGD392" s="6"/>
      <c r="AGE392" s="6"/>
      <c r="AGF392" s="6"/>
      <c r="AGG392" s="6"/>
      <c r="AGH392" s="6"/>
      <c r="AGI392" s="6"/>
      <c r="AGJ392" s="6"/>
      <c r="AGK392" s="6"/>
      <c r="AGL392" s="6"/>
      <c r="AGM392" s="6"/>
      <c r="AGN392" s="6"/>
      <c r="AGO392" s="6"/>
      <c r="AGP392" s="6"/>
      <c r="AGQ392" s="6"/>
      <c r="AGR392" s="6"/>
      <c r="AGS392" s="6"/>
      <c r="AGT392" s="6"/>
      <c r="AGU392" s="6"/>
      <c r="AGV392" s="6"/>
      <c r="AGW392" s="6"/>
      <c r="AGX392" s="6"/>
      <c r="AGY392" s="6"/>
      <c r="AGZ392" s="6"/>
      <c r="AHA392" s="6"/>
      <c r="AHB392" s="6"/>
      <c r="AHC392" s="6"/>
      <c r="AHD392" s="6"/>
      <c r="AHE392" s="6"/>
      <c r="AHF392" s="6"/>
      <c r="AHG392" s="6"/>
      <c r="AHH392" s="6"/>
      <c r="AHI392" s="6"/>
      <c r="AHJ392" s="6"/>
      <c r="AHK392" s="6"/>
      <c r="AHL392" s="6"/>
      <c r="AHM392" s="6"/>
      <c r="AHN392" s="6"/>
      <c r="AHO392" s="6"/>
      <c r="AHP392" s="6"/>
      <c r="AHQ392" s="6"/>
      <c r="AHR392" s="6"/>
      <c r="AHS392" s="6"/>
      <c r="AHT392" s="6"/>
      <c r="AHU392" s="6"/>
      <c r="AHV392" s="6"/>
      <c r="AHW392" s="6"/>
      <c r="AHX392" s="6"/>
      <c r="AHY392" s="6"/>
      <c r="AHZ392" s="6"/>
      <c r="AIA392" s="6"/>
      <c r="AIB392" s="6"/>
      <c r="AIC392" s="6"/>
      <c r="AID392" s="6"/>
      <c r="AIE392" s="6"/>
      <c r="AIF392" s="6"/>
      <c r="AIG392" s="6"/>
      <c r="AIH392" s="6"/>
      <c r="AII392" s="6"/>
      <c r="AIJ392" s="6"/>
      <c r="AIK392" s="6"/>
      <c r="AIL392" s="6"/>
      <c r="AIM392" s="6"/>
      <c r="AIN392" s="6"/>
      <c r="AIO392" s="6"/>
      <c r="AIP392" s="6"/>
      <c r="AIQ392" s="6"/>
      <c r="AIR392" s="6"/>
      <c r="AIS392" s="6"/>
      <c r="AIT392" s="6"/>
      <c r="AIU392" s="6"/>
      <c r="AIV392" s="6"/>
      <c r="AIW392" s="6"/>
      <c r="AIX392" s="6"/>
      <c r="AIY392" s="6"/>
      <c r="AIZ392" s="6"/>
      <c r="AJA392" s="6"/>
      <c r="AJB392" s="6"/>
      <c r="AJC392" s="6"/>
      <c r="AJD392" s="6"/>
      <c r="AJE392" s="6"/>
      <c r="AJF392" s="6"/>
      <c r="AJG392" s="6"/>
      <c r="AJH392" s="6"/>
      <c r="AJI392" s="6"/>
      <c r="AJJ392" s="6"/>
      <c r="AJK392" s="6"/>
      <c r="AJL392" s="6"/>
      <c r="AJM392" s="6"/>
      <c r="AJN392" s="6"/>
      <c r="AJO392" s="6"/>
      <c r="AJP392" s="6"/>
      <c r="AJQ392" s="6"/>
      <c r="AJR392" s="6"/>
      <c r="AJS392" s="6"/>
      <c r="AJT392" s="6"/>
      <c r="AJU392" s="6"/>
      <c r="AJV392" s="6"/>
      <c r="AJW392" s="6"/>
      <c r="AJX392" s="6"/>
      <c r="AJY392" s="6"/>
      <c r="AJZ392" s="6"/>
      <c r="AKA392" s="6"/>
      <c r="AKB392" s="6"/>
      <c r="AKC392" s="6"/>
      <c r="AKD392" s="6"/>
      <c r="AKE392" s="6"/>
      <c r="AKF392" s="6"/>
      <c r="AKG392" s="6"/>
      <c r="AKH392" s="6"/>
      <c r="AKI392" s="6"/>
      <c r="AKJ392" s="6"/>
      <c r="AKK392" s="6"/>
      <c r="AKL392" s="6"/>
      <c r="AKM392" s="6"/>
      <c r="AKN392" s="6"/>
      <c r="AKO392" s="6"/>
      <c r="AKP392" s="6"/>
      <c r="AKQ392" s="6"/>
      <c r="AKR392" s="6"/>
      <c r="AKS392" s="6"/>
      <c r="AKT392" s="6"/>
      <c r="AKU392" s="6"/>
      <c r="AKV392" s="6"/>
      <c r="AKW392" s="6"/>
      <c r="AKX392" s="6"/>
      <c r="AKY392" s="6"/>
      <c r="AKZ392" s="6"/>
      <c r="ALA392" s="6"/>
      <c r="ALB392" s="6"/>
      <c r="ALC392" s="6"/>
      <c r="ALD392" s="6"/>
      <c r="ALE392" s="6"/>
      <c r="ALF392" s="6"/>
      <c r="ALG392" s="6"/>
      <c r="ALH392" s="6"/>
      <c r="ALI392" s="6"/>
      <c r="ALJ392" s="6"/>
      <c r="ALK392" s="6"/>
      <c r="ALL392" s="6"/>
      <c r="ALM392" s="6"/>
      <c r="ALN392" s="6"/>
      <c r="ALO392" s="6"/>
      <c r="ALP392" s="6"/>
      <c r="ALQ392" s="6"/>
      <c r="ALR392" s="6"/>
      <c r="ALS392" s="6"/>
      <c r="ALT392" s="6"/>
      <c r="ALU392" s="6"/>
      <c r="ALV392" s="6"/>
      <c r="ALW392" s="6"/>
      <c r="ALX392" s="6"/>
      <c r="ALY392" s="6"/>
      <c r="ALZ392" s="6"/>
      <c r="AMA392" s="6"/>
      <c r="AMB392" s="6"/>
      <c r="AMC392" s="6"/>
      <c r="AMD392" s="6"/>
      <c r="AME392" s="6"/>
      <c r="AMF392" s="6"/>
      <c r="AMG392" s="6"/>
      <c r="AMH392" s="6"/>
      <c r="AMI392" s="6"/>
      <c r="AMJ392" s="6"/>
      <c r="AMK392" s="6"/>
      <c r="AML392" s="6"/>
      <c r="AMM392" s="6"/>
      <c r="AMN392" s="6"/>
      <c r="AMO392" s="6"/>
      <c r="AMP392" s="6"/>
    </row>
    <row r="393" spans="1:1030" x14ac:dyDescent="0.2">
      <c r="A393" s="9" t="str">
        <f t="shared" ref="A393" si="3355">CONCATENATE(B393,"_",C393)</f>
        <v>ta2r_human_6IIV</v>
      </c>
      <c r="B393" s="40" t="s">
        <v>467</v>
      </c>
      <c r="C393" s="9" t="s">
        <v>1543</v>
      </c>
      <c r="D393" s="9" t="str">
        <f>IFERROR(MID(VLOOKUP($B393,Seqs!$A:$B,2,0),E393,1),"")</f>
        <v>S</v>
      </c>
      <c r="E393" s="9">
        <v>27</v>
      </c>
      <c r="F393" s="9" t="str">
        <f>IFERROR(MID(VLOOKUP($B393,Seqs!$A:$B,2,0),G393,1),"")</f>
        <v>R</v>
      </c>
      <c r="G393" s="9">
        <v>53</v>
      </c>
      <c r="H393" s="9" t="str">
        <f>IFERROR(MID(VLOOKUP($B393,Seqs!$A:$B,2,0),I393,1),"")</f>
        <v/>
      </c>
      <c r="I393" s="109" t="s">
        <v>23</v>
      </c>
      <c r="J393" s="9" t="str">
        <f>IFERROR(MID(VLOOKUP($B393,Seqs!$A:$B,2,0),K393,1),"")</f>
        <v/>
      </c>
      <c r="K393" s="109" t="s">
        <v>23</v>
      </c>
      <c r="L393" s="9" t="str">
        <f>IFERROR(MID(VLOOKUP($B393,Seqs!$A:$B,2,0),M393,1),"")</f>
        <v>S</v>
      </c>
      <c r="M393" s="9">
        <v>61</v>
      </c>
      <c r="N393" s="9" t="str">
        <f>IFERROR(MID(VLOOKUP($B393,Seqs!$A:$B,2,0),O393,1),"")</f>
        <v>A</v>
      </c>
      <c r="O393" s="9">
        <v>91</v>
      </c>
      <c r="P393" s="9" t="str">
        <f>IFERROR(MID(VLOOKUP($B393,Seqs!$A:$B,2,0),Q393,1),"")</f>
        <v>E</v>
      </c>
      <c r="Q393" s="9">
        <v>94</v>
      </c>
      <c r="R393" s="9" t="str">
        <f>IFERROR(MID(VLOOKUP($B393,Seqs!$A:$B,2,0),S393,1),"")</f>
        <v>V</v>
      </c>
      <c r="S393" s="9">
        <v>98</v>
      </c>
      <c r="T393" s="9" t="str">
        <f>IFERROR(MID(VLOOKUP($B393,Seqs!$A:$B,2,0),U393,1),"")</f>
        <v>C</v>
      </c>
      <c r="U393" s="9">
        <v>102</v>
      </c>
      <c r="V393" s="9" t="str">
        <f>IFERROR(MID(VLOOKUP($B393,Seqs!$A:$B,2,0),W393,1),"")</f>
        <v>R</v>
      </c>
      <c r="W393" s="9">
        <v>136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P</v>
      </c>
      <c r="AC393" s="9">
        <v>141</v>
      </c>
      <c r="AD393" s="9" t="str">
        <f>IFERROR(MID(VLOOKUP($B393,Seqs!$A:$B,2,0),AE393,1),"")</f>
        <v>G</v>
      </c>
      <c r="AE393" s="9">
        <v>170</v>
      </c>
      <c r="AF393" s="9" t="str">
        <f>IFERROR(MID(VLOOKUP($B393,Seqs!$A:$B,2,0),AG393,1),"")</f>
        <v>C</v>
      </c>
      <c r="AG393" s="9">
        <v>183</v>
      </c>
      <c r="AH393" s="9" t="str">
        <f>IFERROR(MID(VLOOKUP($B393,Seqs!$A:$B,2,0),AI393,1),"")</f>
        <v>L</v>
      </c>
      <c r="AI393" s="9">
        <v>185</v>
      </c>
      <c r="AJ393" s="9" t="str">
        <f>IFERROR(MID(VLOOKUP($B393,Seqs!$A:$B,2,0),AK393,1),"")</f>
        <v>E</v>
      </c>
      <c r="AK393" s="9">
        <v>190</v>
      </c>
      <c r="AL393" s="9" t="str">
        <f>IFERROR(MID(VLOOKUP($B393,Seqs!$A:$B,2,0),AM393,1),"")</f>
        <v>Y</v>
      </c>
      <c r="AM393" s="9">
        <v>226</v>
      </c>
      <c r="AN393" s="9" t="str">
        <f>IFERROR(MID(VLOOKUP($B393,Seqs!$A:$B,2,0),AO393,1),"")</f>
        <v>R</v>
      </c>
      <c r="AO393" s="9">
        <v>237</v>
      </c>
      <c r="AP393" s="9" t="str">
        <f>IFERROR(MID(VLOOKUP($B393,Seqs!$A:$B,2,0),AQ393,1),"")</f>
        <v>R</v>
      </c>
      <c r="AQ393" s="9">
        <v>271</v>
      </c>
      <c r="AR393" s="9" t="str">
        <f>IFERROR(MID(VLOOKUP($B393,Seqs!$A:$B,2,0),AS393,1),"")</f>
        <v>S</v>
      </c>
      <c r="AS393" s="9">
        <v>283</v>
      </c>
      <c r="AT393" s="9" t="str">
        <f>IFERROR(MID(VLOOKUP($B393,Seqs!$A:$B,2,0),AU393,1),"")</f>
        <v>F</v>
      </c>
      <c r="AU393" s="9">
        <v>311</v>
      </c>
      <c r="AV393" s="9" t="str">
        <f>IFERROR(MID(VLOOKUP($B393,Seqs!$A:$B,2,0),AW393,1),"")</f>
        <v>R</v>
      </c>
      <c r="AW393" s="9">
        <v>312</v>
      </c>
      <c r="AX393" s="9" t="str">
        <f>IFERROR(MID(VLOOKUP($B393,Seqs!$A:$B,2,0),AY393,1),"")</f>
        <v>L</v>
      </c>
      <c r="AY393" s="9">
        <v>319</v>
      </c>
      <c r="AZ393" s="110" t="str">
        <f>VLOOKUP(B393,Classification!A:D,2,0)</f>
        <v>A</v>
      </c>
      <c r="BA393" s="98" t="str">
        <f>VLOOKUP(B393,Classification!A:D,4,0)</f>
        <v>Prostanoid</v>
      </c>
      <c r="BB393" s="36" t="b">
        <f t="shared" ref="BB393" si="3356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3357">_xlfn.AGGREGATE(9,6,CH393:CS393)-_xlfn.AGGREGATE(9,6,BV393:CG393)+12</f>
        <v>242</v>
      </c>
      <c r="BD393" s="11" t="s">
        <v>1370</v>
      </c>
      <c r="BE393" s="9" t="s">
        <v>1368</v>
      </c>
      <c r="BF393" s="119">
        <v>3</v>
      </c>
      <c r="BG393" s="51" t="s">
        <v>1</v>
      </c>
      <c r="BH393" s="51" t="s">
        <v>1</v>
      </c>
      <c r="BI393" s="12"/>
      <c r="BJ393" s="111" t="s">
        <v>1281</v>
      </c>
      <c r="BK393" s="112" t="s">
        <v>1281</v>
      </c>
      <c r="BL393" s="112" t="s">
        <v>1281</v>
      </c>
      <c r="BM393" s="112" t="s">
        <v>1281</v>
      </c>
      <c r="BN393" s="112" t="s">
        <v>1281</v>
      </c>
      <c r="BO393" s="112" t="s">
        <v>1281</v>
      </c>
      <c r="BP393" s="112" t="s">
        <v>1281</v>
      </c>
      <c r="BQ393" s="112" t="s">
        <v>1281</v>
      </c>
      <c r="BR393" s="112" t="s">
        <v>1281</v>
      </c>
      <c r="BS393" s="112" t="s">
        <v>1281</v>
      </c>
      <c r="BT393" s="112" t="s">
        <v>1281</v>
      </c>
      <c r="BU393" s="112" t="s">
        <v>1281</v>
      </c>
      <c r="BV393" s="111">
        <f t="shared" ref="BV393" si="3358">E393</f>
        <v>27</v>
      </c>
      <c r="BW393" s="113" t="str">
        <f t="shared" ref="BW393" si="3359">I393</f>
        <v>-</v>
      </c>
      <c r="BX393" s="114">
        <f t="shared" ref="BX393" si="3360">M393</f>
        <v>61</v>
      </c>
      <c r="BY393" s="113">
        <f t="shared" ref="BY393" si="3361">Q393</f>
        <v>94</v>
      </c>
      <c r="BZ393" s="114">
        <f t="shared" ref="BZ393" si="3362">U393</f>
        <v>102</v>
      </c>
      <c r="CA393" s="113" t="str">
        <f t="shared" ref="CA393" si="3363">Y393</f>
        <v>-</v>
      </c>
      <c r="CB393" s="114">
        <f t="shared" ref="CB393" si="3364">AC393</f>
        <v>141</v>
      </c>
      <c r="CC393" s="113">
        <f t="shared" ref="CC393" si="3365">AG393</f>
        <v>183</v>
      </c>
      <c r="CD393" s="114">
        <f t="shared" ref="CD393" si="3366">AK393</f>
        <v>190</v>
      </c>
      <c r="CE393" s="113">
        <f t="shared" ref="CE393" si="3367">AO393</f>
        <v>237</v>
      </c>
      <c r="CF393" s="114">
        <f t="shared" ref="CF393" si="3368">AS393</f>
        <v>283</v>
      </c>
      <c r="CG393" s="113">
        <f t="shared" ref="CG393" si="3369">AW393</f>
        <v>312</v>
      </c>
      <c r="CH393" s="111">
        <f t="shared" ref="CH393" si="3370">G393</f>
        <v>53</v>
      </c>
      <c r="CI393" s="113" t="str">
        <f t="shared" ref="CI393" si="3371">K393</f>
        <v>-</v>
      </c>
      <c r="CJ393" s="114">
        <f t="shared" ref="CJ393" si="3372">O393</f>
        <v>91</v>
      </c>
      <c r="CK393" s="114">
        <f t="shared" ref="CK393" si="3373">S393</f>
        <v>98</v>
      </c>
      <c r="CL393" s="114">
        <f t="shared" ref="CL393" si="3374">W393</f>
        <v>136</v>
      </c>
      <c r="CM393" s="114" t="str">
        <f t="shared" ref="CM393" si="3375">AA393</f>
        <v>-</v>
      </c>
      <c r="CN393" s="114">
        <f t="shared" ref="CN393" si="3376">AE393</f>
        <v>170</v>
      </c>
      <c r="CO393" s="114">
        <f t="shared" ref="CO393" si="3377">AI393</f>
        <v>185</v>
      </c>
      <c r="CP393" s="114">
        <f t="shared" ref="CP393" si="3378">AM393</f>
        <v>226</v>
      </c>
      <c r="CQ393" s="114">
        <f t="shared" ref="CQ393" si="3379">AQ393</f>
        <v>271</v>
      </c>
      <c r="CR393" s="114">
        <f t="shared" ref="CR393" si="3380">AU393</f>
        <v>311</v>
      </c>
      <c r="CS393" s="114">
        <f t="shared" ref="CS393" si="3381">AY393</f>
        <v>319</v>
      </c>
      <c r="CT393" s="109" t="e">
        <f t="shared" ref="CT393" si="3382">M393-K393</f>
        <v>#VALUE!</v>
      </c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6"/>
      <c r="ACQ393" s="6"/>
      <c r="ACR393" s="6"/>
      <c r="ACS393" s="6"/>
      <c r="ACT393" s="6"/>
      <c r="ACU393" s="6"/>
      <c r="ACV393" s="6"/>
      <c r="ACW393" s="6"/>
      <c r="ACX393" s="6"/>
      <c r="ACY393" s="6"/>
      <c r="ACZ393" s="6"/>
      <c r="ADA393" s="6"/>
      <c r="ADB393" s="6"/>
      <c r="ADC393" s="6"/>
      <c r="ADD393" s="6"/>
      <c r="ADE393" s="6"/>
      <c r="ADF393" s="6"/>
      <c r="ADG393" s="6"/>
      <c r="ADH393" s="6"/>
      <c r="ADI393" s="6"/>
      <c r="ADJ393" s="6"/>
      <c r="ADK393" s="6"/>
      <c r="ADL393" s="6"/>
      <c r="ADM393" s="6"/>
      <c r="ADN393" s="6"/>
      <c r="ADO393" s="6"/>
      <c r="ADP393" s="6"/>
      <c r="ADQ393" s="6"/>
      <c r="ADR393" s="6"/>
      <c r="ADS393" s="6"/>
      <c r="ADT393" s="6"/>
      <c r="ADU393" s="6"/>
      <c r="ADV393" s="6"/>
      <c r="ADW393" s="6"/>
      <c r="ADX393" s="6"/>
      <c r="ADY393" s="6"/>
      <c r="ADZ393" s="6"/>
      <c r="AEA393" s="6"/>
      <c r="AEB393" s="6"/>
      <c r="AEC393" s="6"/>
      <c r="AED393" s="6"/>
      <c r="AEE393" s="6"/>
      <c r="AEF393" s="6"/>
      <c r="AEG393" s="6"/>
      <c r="AEH393" s="6"/>
      <c r="AEI393" s="6"/>
      <c r="AEJ393" s="6"/>
      <c r="AEK393" s="6"/>
      <c r="AEL393" s="6"/>
      <c r="AEM393" s="6"/>
      <c r="AEN393" s="6"/>
      <c r="AEO393" s="6"/>
      <c r="AEP393" s="6"/>
      <c r="AEQ393" s="6"/>
      <c r="AER393" s="6"/>
      <c r="AES393" s="6"/>
      <c r="AET393" s="6"/>
      <c r="AEU393" s="6"/>
      <c r="AEV393" s="6"/>
      <c r="AEW393" s="6"/>
      <c r="AEX393" s="6"/>
      <c r="AEY393" s="6"/>
      <c r="AEZ393" s="6"/>
      <c r="AFA393" s="6"/>
      <c r="AFB393" s="6"/>
      <c r="AFC393" s="6"/>
      <c r="AFD393" s="6"/>
      <c r="AFE393" s="6"/>
      <c r="AFF393" s="6"/>
      <c r="AFG393" s="6"/>
      <c r="AFH393" s="6"/>
      <c r="AFI393" s="6"/>
      <c r="AFJ393" s="6"/>
      <c r="AFK393" s="6"/>
      <c r="AFL393" s="6"/>
      <c r="AFM393" s="6"/>
      <c r="AFN393" s="6"/>
      <c r="AFO393" s="6"/>
      <c r="AFP393" s="6"/>
      <c r="AFQ393" s="6"/>
      <c r="AFR393" s="6"/>
      <c r="AFS393" s="6"/>
      <c r="AFT393" s="6"/>
      <c r="AFU393" s="6"/>
      <c r="AFV393" s="6"/>
      <c r="AFW393" s="6"/>
      <c r="AFX393" s="6"/>
      <c r="AFY393" s="6"/>
      <c r="AFZ393" s="6"/>
      <c r="AGA393" s="6"/>
      <c r="AGB393" s="6"/>
      <c r="AGC393" s="6"/>
      <c r="AGD393" s="6"/>
      <c r="AGE393" s="6"/>
      <c r="AGF393" s="6"/>
      <c r="AGG393" s="6"/>
      <c r="AGH393" s="6"/>
      <c r="AGI393" s="6"/>
      <c r="AGJ393" s="6"/>
      <c r="AGK393" s="6"/>
      <c r="AGL393" s="6"/>
      <c r="AGM393" s="6"/>
      <c r="AGN393" s="6"/>
      <c r="AGO393" s="6"/>
      <c r="AGP393" s="6"/>
      <c r="AGQ393" s="6"/>
      <c r="AGR393" s="6"/>
      <c r="AGS393" s="6"/>
      <c r="AGT393" s="6"/>
      <c r="AGU393" s="6"/>
      <c r="AGV393" s="6"/>
      <c r="AGW393" s="6"/>
      <c r="AGX393" s="6"/>
      <c r="AGY393" s="6"/>
      <c r="AGZ393" s="6"/>
      <c r="AHA393" s="6"/>
      <c r="AHB393" s="6"/>
      <c r="AHC393" s="6"/>
      <c r="AHD393" s="6"/>
      <c r="AHE393" s="6"/>
      <c r="AHF393" s="6"/>
      <c r="AHG393" s="6"/>
      <c r="AHH393" s="6"/>
      <c r="AHI393" s="6"/>
      <c r="AHJ393" s="6"/>
      <c r="AHK393" s="6"/>
      <c r="AHL393" s="6"/>
      <c r="AHM393" s="6"/>
      <c r="AHN393" s="6"/>
      <c r="AHO393" s="6"/>
      <c r="AHP393" s="6"/>
      <c r="AHQ393" s="6"/>
      <c r="AHR393" s="6"/>
      <c r="AHS393" s="6"/>
      <c r="AHT393" s="6"/>
      <c r="AHU393" s="6"/>
      <c r="AHV393" s="6"/>
      <c r="AHW393" s="6"/>
      <c r="AHX393" s="6"/>
      <c r="AHY393" s="6"/>
      <c r="AHZ393" s="6"/>
      <c r="AIA393" s="6"/>
      <c r="AIB393" s="6"/>
      <c r="AIC393" s="6"/>
      <c r="AID393" s="6"/>
      <c r="AIE393" s="6"/>
      <c r="AIF393" s="6"/>
      <c r="AIG393" s="6"/>
      <c r="AIH393" s="6"/>
      <c r="AII393" s="6"/>
      <c r="AIJ393" s="6"/>
      <c r="AIK393" s="6"/>
      <c r="AIL393" s="6"/>
      <c r="AIM393" s="6"/>
      <c r="AIN393" s="6"/>
      <c r="AIO393" s="6"/>
      <c r="AIP393" s="6"/>
      <c r="AIQ393" s="6"/>
      <c r="AIR393" s="6"/>
      <c r="AIS393" s="6"/>
      <c r="AIT393" s="6"/>
      <c r="AIU393" s="6"/>
      <c r="AIV393" s="6"/>
      <c r="AIW393" s="6"/>
      <c r="AIX393" s="6"/>
      <c r="AIY393" s="6"/>
      <c r="AIZ393" s="6"/>
      <c r="AJA393" s="6"/>
      <c r="AJB393" s="6"/>
      <c r="AJC393" s="6"/>
      <c r="AJD393" s="6"/>
      <c r="AJE393" s="6"/>
      <c r="AJF393" s="6"/>
      <c r="AJG393" s="6"/>
      <c r="AJH393" s="6"/>
      <c r="AJI393" s="6"/>
      <c r="AJJ393" s="6"/>
      <c r="AJK393" s="6"/>
      <c r="AJL393" s="6"/>
      <c r="AJM393" s="6"/>
      <c r="AJN393" s="6"/>
      <c r="AJO393" s="6"/>
      <c r="AJP393" s="6"/>
      <c r="AJQ393" s="6"/>
      <c r="AJR393" s="6"/>
      <c r="AJS393" s="6"/>
      <c r="AJT393" s="6"/>
      <c r="AJU393" s="6"/>
      <c r="AJV393" s="6"/>
      <c r="AJW393" s="6"/>
      <c r="AJX393" s="6"/>
      <c r="AJY393" s="6"/>
      <c r="AJZ393" s="6"/>
      <c r="AKA393" s="6"/>
      <c r="AKB393" s="6"/>
      <c r="AKC393" s="6"/>
      <c r="AKD393" s="6"/>
      <c r="AKE393" s="6"/>
      <c r="AKF393" s="6"/>
      <c r="AKG393" s="6"/>
      <c r="AKH393" s="6"/>
      <c r="AKI393" s="6"/>
      <c r="AKJ393" s="6"/>
      <c r="AKK393" s="6"/>
      <c r="AKL393" s="6"/>
      <c r="AKM393" s="6"/>
      <c r="AKN393" s="6"/>
      <c r="AKO393" s="6"/>
      <c r="AKP393" s="6"/>
      <c r="AKQ393" s="6"/>
      <c r="AKR393" s="6"/>
      <c r="AKS393" s="6"/>
      <c r="AKT393" s="6"/>
      <c r="AKU393" s="6"/>
      <c r="AKV393" s="6"/>
      <c r="AKW393" s="6"/>
      <c r="AKX393" s="6"/>
      <c r="AKY393" s="6"/>
      <c r="AKZ393" s="6"/>
      <c r="ALA393" s="6"/>
      <c r="ALB393" s="6"/>
      <c r="ALC393" s="6"/>
      <c r="ALD393" s="6"/>
      <c r="ALE393" s="6"/>
      <c r="ALF393" s="6"/>
      <c r="ALG393" s="6"/>
      <c r="ALH393" s="6"/>
      <c r="ALI393" s="6"/>
      <c r="ALJ393" s="6"/>
      <c r="ALK393" s="6"/>
      <c r="ALL393" s="6"/>
      <c r="ALM393" s="6"/>
      <c r="ALN393" s="6"/>
      <c r="ALO393" s="6"/>
      <c r="ALP393" s="6"/>
      <c r="ALQ393" s="6"/>
      <c r="ALR393" s="6"/>
      <c r="ALS393" s="6"/>
      <c r="ALT393" s="6"/>
      <c r="ALU393" s="6"/>
      <c r="ALV393" s="6"/>
      <c r="ALW393" s="6"/>
      <c r="ALX393" s="6"/>
      <c r="ALY393" s="6"/>
      <c r="ALZ393" s="6"/>
      <c r="AMA393" s="6"/>
      <c r="AMB393" s="6"/>
      <c r="AMC393" s="6"/>
      <c r="AMD393" s="6"/>
      <c r="AME393" s="6"/>
      <c r="AMF393" s="6"/>
      <c r="AMG393" s="6"/>
      <c r="AMH393" s="6"/>
      <c r="AMI393" s="6"/>
      <c r="AMJ393" s="6"/>
      <c r="AMK393" s="6"/>
      <c r="AML393" s="6"/>
      <c r="AMM393" s="6"/>
      <c r="AMN393" s="6"/>
      <c r="AMO393" s="6"/>
      <c r="AMP393" s="6"/>
    </row>
    <row r="394" spans="1:1030" x14ac:dyDescent="0.2">
      <c r="A394" s="3" t="str">
        <f t="shared" si="3326"/>
        <v>calcr_human__wt</v>
      </c>
      <c r="B394" s="2" t="s">
        <v>400</v>
      </c>
      <c r="C394" s="3" t="s">
        <v>100</v>
      </c>
      <c r="D394" s="3" t="str">
        <f>IFERROR(MID(VLOOKUP($B394,Seqs!$A:$B,2,0),E394,1),"")</f>
        <v>T</v>
      </c>
      <c r="E394" s="3">
        <v>132</v>
      </c>
      <c r="F394" s="3" t="str">
        <f>IFERROR(MID(VLOOKUP($B394,Seqs!$A:$B,2,0),G394,1),"")</f>
        <v>F</v>
      </c>
      <c r="G394" s="3">
        <v>173</v>
      </c>
      <c r="H394" s="3" t="str">
        <f>IFERROR(MID(VLOOKUP($B394,Seqs!$A:$B,2,0),I394,1),"")</f>
        <v>R</v>
      </c>
      <c r="I394" s="23">
        <v>174</v>
      </c>
      <c r="J394" s="3" t="str">
        <f>IFERROR(MID(VLOOKUP($B394,Seqs!$A:$B,2,0),K394,1),"")</f>
        <v>G</v>
      </c>
      <c r="K394" s="23">
        <v>177</v>
      </c>
      <c r="L394" s="3" t="str">
        <f>IFERROR(MID(VLOOKUP($B394,Seqs!$A:$B,2,0),M394,1),"")</f>
        <v>C</v>
      </c>
      <c r="M394" s="3">
        <v>178</v>
      </c>
      <c r="N394" s="3" t="str">
        <f>IFERROR(MID(VLOOKUP($B394,Seqs!$A:$B,2,0),O394,1),"")</f>
        <v>V</v>
      </c>
      <c r="O394" s="3">
        <v>205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V</v>
      </c>
      <c r="U394" s="105">
        <v>217</v>
      </c>
      <c r="V394" s="3" t="str">
        <f>IFERROR(MID(VLOOKUP($B394,Seqs!$A:$B,2,0),W394,1),"")</f>
        <v>V</v>
      </c>
      <c r="W394" s="3">
        <v>250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R</v>
      </c>
      <c r="AC394" s="3">
        <v>258</v>
      </c>
      <c r="AD394" s="3" t="str">
        <f>IFERROR(MID(VLOOKUP($B394,Seqs!$A:$B,2,0),AE394,1),"")</f>
        <v>F</v>
      </c>
      <c r="AE394" s="3">
        <v>285</v>
      </c>
      <c r="AF394" s="3" t="str">
        <f>IFERROR(MID(VLOOKUP($B394,Seqs!$A:$B,2,0),AG394,1),"")</f>
        <v>C</v>
      </c>
      <c r="AG394" s="3">
        <v>289</v>
      </c>
      <c r="AH394" s="3" t="str">
        <f>IFERROR(MID(VLOOKUP($B394,Seqs!$A:$B,2,0),AI394,1),"")</f>
        <v>L</v>
      </c>
      <c r="AI394" s="3">
        <v>291</v>
      </c>
      <c r="AJ394" s="3" t="str">
        <f>IFERROR(MID(VLOOKUP($B394,Seqs!$A:$B,2,0),AK394,1),"")</f>
        <v>L</v>
      </c>
      <c r="AK394" s="3">
        <v>298</v>
      </c>
      <c r="AL394" s="3" t="str">
        <f>IFERROR(MID(VLOOKUP($B394,Seqs!$A:$B,2,0),AM394,1),"")</f>
        <v>R</v>
      </c>
      <c r="AM394" s="3">
        <v>328</v>
      </c>
      <c r="AN394" s="3" t="str">
        <f>IFERROR(MID(VLOOKUP($B394,Seqs!$A:$B,2,0),AO394,1),"")</f>
        <v>Y</v>
      </c>
      <c r="AO394" s="3">
        <v>338</v>
      </c>
      <c r="AP394" s="3" t="str">
        <f>IFERROR(MID(VLOOKUP($B394,Seqs!$A:$B,2,0),AQ394,1),"")</f>
        <v>W</v>
      </c>
      <c r="AQ394" s="3">
        <v>361</v>
      </c>
      <c r="AR394" s="3" t="str">
        <f>IFERROR(MID(VLOOKUP($B394,Seqs!$A:$B,2,0),AS394,1),"")</f>
        <v>K</v>
      </c>
      <c r="AS394" s="3">
        <v>366</v>
      </c>
      <c r="AT394" s="3" t="str">
        <f>IFERROR(MID(VLOOKUP($B394,Seqs!$A:$B,2,0),AU394,1),"")</f>
        <v>C</v>
      </c>
      <c r="AU394" s="3">
        <v>394</v>
      </c>
      <c r="AV394" s="3" t="str">
        <f>IFERROR(MID(VLOOKUP($B394,Seqs!$A:$B,2,0),AW394,1),"")</f>
        <v>N</v>
      </c>
      <c r="AW394" s="3">
        <v>395</v>
      </c>
      <c r="AX394" s="3" t="str">
        <f>IFERROR(MID(VLOOKUP($B394,Seqs!$A:$B,2,0),AY394,1),"")</f>
        <v>R</v>
      </c>
      <c r="AY394" s="3">
        <v>420</v>
      </c>
      <c r="AZ394" s="77" t="str">
        <f>VLOOKUP(B394,Classification!A:D,2,0)</f>
        <v>B1</v>
      </c>
      <c r="BA394" s="94" t="str">
        <f>VLOOKUP(B394,Classification!A:D,4,0)</f>
        <v>Calcitonin</v>
      </c>
      <c r="BB394" s="27" t="b">
        <f t="shared" si="3299"/>
        <v>1</v>
      </c>
      <c r="BC394" s="23">
        <f t="shared" si="3300"/>
        <v>251</v>
      </c>
      <c r="BD394" s="4" t="s">
        <v>23</v>
      </c>
      <c r="BE394" s="3" t="s">
        <v>23</v>
      </c>
      <c r="BF394" s="118" t="s">
        <v>23</v>
      </c>
      <c r="BG394" s="49" t="s">
        <v>1371</v>
      </c>
      <c r="BH394" s="49" t="s">
        <v>1371</v>
      </c>
      <c r="BI394" s="1"/>
      <c r="BJ394" s="70" t="s">
        <v>1281</v>
      </c>
      <c r="BK394" s="57" t="s">
        <v>1281</v>
      </c>
      <c r="BL394" s="57" t="s">
        <v>1281</v>
      </c>
      <c r="BM394" s="57" t="s">
        <v>1281</v>
      </c>
      <c r="BN394" s="57" t="s">
        <v>1281</v>
      </c>
      <c r="BO394" s="57" t="s">
        <v>1281</v>
      </c>
      <c r="BP394" s="57" t="s">
        <v>1281</v>
      </c>
      <c r="BQ394" s="57" t="s">
        <v>1281</v>
      </c>
      <c r="BR394" s="57" t="s">
        <v>1281</v>
      </c>
      <c r="BS394" s="57" t="s">
        <v>1281</v>
      </c>
      <c r="BT394" s="57" t="s">
        <v>1281</v>
      </c>
      <c r="BU394" s="57" t="s">
        <v>1281</v>
      </c>
      <c r="BV394" s="70">
        <f t="shared" si="3301"/>
        <v>132</v>
      </c>
      <c r="BW394" s="71">
        <f t="shared" si="3302"/>
        <v>174</v>
      </c>
      <c r="BX394" s="72">
        <f t="shared" si="3303"/>
        <v>178</v>
      </c>
      <c r="BY394" s="71" t="str">
        <f t="shared" si="3304"/>
        <v>-</v>
      </c>
      <c r="BZ394" s="72">
        <f t="shared" si="3305"/>
        <v>217</v>
      </c>
      <c r="CA394" s="71" t="str">
        <f t="shared" si="3306"/>
        <v>-</v>
      </c>
      <c r="CB394" s="72">
        <f t="shared" si="3307"/>
        <v>258</v>
      </c>
      <c r="CC394" s="71">
        <f t="shared" si="3308"/>
        <v>289</v>
      </c>
      <c r="CD394" s="72">
        <f t="shared" si="3309"/>
        <v>298</v>
      </c>
      <c r="CE394" s="71">
        <f t="shared" si="3310"/>
        <v>338</v>
      </c>
      <c r="CF394" s="72">
        <f t="shared" si="3311"/>
        <v>366</v>
      </c>
      <c r="CG394" s="71">
        <f t="shared" si="3312"/>
        <v>395</v>
      </c>
      <c r="CH394" s="70">
        <f t="shared" si="3313"/>
        <v>173</v>
      </c>
      <c r="CI394" s="71">
        <f t="shared" si="3314"/>
        <v>177</v>
      </c>
      <c r="CJ394" s="72">
        <f t="shared" si="3315"/>
        <v>205</v>
      </c>
      <c r="CK394" s="72" t="str">
        <f t="shared" si="3316"/>
        <v>-</v>
      </c>
      <c r="CL394" s="72">
        <f t="shared" si="3317"/>
        <v>250</v>
      </c>
      <c r="CM394" s="72" t="str">
        <f t="shared" si="3318"/>
        <v>-</v>
      </c>
      <c r="CN394" s="72">
        <f t="shared" si="3319"/>
        <v>285</v>
      </c>
      <c r="CO394" s="72">
        <f t="shared" si="3320"/>
        <v>291</v>
      </c>
      <c r="CP394" s="72">
        <f t="shared" si="3321"/>
        <v>328</v>
      </c>
      <c r="CQ394" s="72">
        <f t="shared" si="3322"/>
        <v>361</v>
      </c>
      <c r="CR394" s="72">
        <f t="shared" si="3323"/>
        <v>394</v>
      </c>
      <c r="CS394" s="72">
        <f t="shared" si="3324"/>
        <v>420</v>
      </c>
      <c r="CT394" s="23">
        <f t="shared" si="3325"/>
        <v>1</v>
      </c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6"/>
      <c r="ACQ394" s="6"/>
      <c r="ACR394" s="6"/>
      <c r="ACS394" s="6"/>
      <c r="ACT394" s="6"/>
      <c r="ACU394" s="6"/>
      <c r="ACV394" s="6"/>
      <c r="ACW394" s="6"/>
      <c r="ACX394" s="6"/>
      <c r="ACY394" s="6"/>
      <c r="ACZ394" s="6"/>
      <c r="ADA394" s="6"/>
      <c r="ADB394" s="6"/>
      <c r="ADC394" s="6"/>
      <c r="ADD394" s="6"/>
      <c r="ADE394" s="6"/>
      <c r="ADF394" s="6"/>
      <c r="ADG394" s="6"/>
      <c r="ADH394" s="6"/>
      <c r="ADI394" s="6"/>
      <c r="ADJ394" s="6"/>
      <c r="ADK394" s="6"/>
      <c r="ADL394" s="6"/>
      <c r="ADM394" s="6"/>
      <c r="ADN394" s="6"/>
      <c r="ADO394" s="6"/>
      <c r="ADP394" s="6"/>
      <c r="ADQ394" s="6"/>
      <c r="ADR394" s="6"/>
      <c r="ADS394" s="6"/>
      <c r="ADT394" s="6"/>
      <c r="ADU394" s="6"/>
      <c r="ADV394" s="6"/>
      <c r="ADW394" s="6"/>
      <c r="ADX394" s="6"/>
      <c r="ADY394" s="6"/>
      <c r="ADZ394" s="6"/>
      <c r="AEA394" s="6"/>
      <c r="AEB394" s="6"/>
      <c r="AEC394" s="6"/>
      <c r="AED394" s="6"/>
      <c r="AEE394" s="6"/>
      <c r="AEF394" s="6"/>
      <c r="AEG394" s="6"/>
      <c r="AEH394" s="6"/>
      <c r="AEI394" s="6"/>
      <c r="AEJ394" s="6"/>
      <c r="AEK394" s="6"/>
      <c r="AEL394" s="6"/>
      <c r="AEM394" s="6"/>
      <c r="AEN394" s="6"/>
      <c r="AEO394" s="6"/>
      <c r="AEP394" s="6"/>
      <c r="AEQ394" s="6"/>
      <c r="AER394" s="6"/>
      <c r="AES394" s="6"/>
      <c r="AET394" s="6"/>
      <c r="AEU394" s="6"/>
      <c r="AEV394" s="6"/>
      <c r="AEW394" s="6"/>
      <c r="AEX394" s="6"/>
      <c r="AEY394" s="6"/>
      <c r="AEZ394" s="6"/>
      <c r="AFA394" s="6"/>
      <c r="AFB394" s="6"/>
      <c r="AFC394" s="6"/>
      <c r="AFD394" s="6"/>
      <c r="AFE394" s="6"/>
      <c r="AFF394" s="6"/>
      <c r="AFG394" s="6"/>
      <c r="AFH394" s="6"/>
      <c r="AFI394" s="6"/>
      <c r="AFJ394" s="6"/>
      <c r="AFK394" s="6"/>
      <c r="AFL394" s="6"/>
      <c r="AFM394" s="6"/>
      <c r="AFN394" s="6"/>
      <c r="AFO394" s="6"/>
      <c r="AFP394" s="6"/>
      <c r="AFQ394" s="6"/>
      <c r="AFR394" s="6"/>
      <c r="AFS394" s="6"/>
      <c r="AFT394" s="6"/>
      <c r="AFU394" s="6"/>
      <c r="AFV394" s="6"/>
      <c r="AFW394" s="6"/>
      <c r="AFX394" s="6"/>
      <c r="AFY394" s="6"/>
      <c r="AFZ394" s="6"/>
      <c r="AGA394" s="6"/>
      <c r="AGB394" s="6"/>
      <c r="AGC394" s="6"/>
      <c r="AGD394" s="6"/>
      <c r="AGE394" s="6"/>
      <c r="AGF394" s="6"/>
      <c r="AGG394" s="6"/>
      <c r="AGH394" s="6"/>
      <c r="AGI394" s="6"/>
      <c r="AGJ394" s="6"/>
      <c r="AGK394" s="6"/>
      <c r="AGL394" s="6"/>
      <c r="AGM394" s="6"/>
      <c r="AGN394" s="6"/>
      <c r="AGO394" s="6"/>
      <c r="AGP394" s="6"/>
      <c r="AGQ394" s="6"/>
      <c r="AGR394" s="6"/>
      <c r="AGS394" s="6"/>
      <c r="AGT394" s="6"/>
      <c r="AGU394" s="6"/>
      <c r="AGV394" s="6"/>
      <c r="AGW394" s="6"/>
      <c r="AGX394" s="6"/>
      <c r="AGY394" s="6"/>
      <c r="AGZ394" s="6"/>
      <c r="AHA394" s="6"/>
      <c r="AHB394" s="6"/>
      <c r="AHC394" s="6"/>
      <c r="AHD394" s="6"/>
      <c r="AHE394" s="6"/>
      <c r="AHF394" s="6"/>
      <c r="AHG394" s="6"/>
      <c r="AHH394" s="6"/>
      <c r="AHI394" s="6"/>
      <c r="AHJ394" s="6"/>
      <c r="AHK394" s="6"/>
      <c r="AHL394" s="6"/>
      <c r="AHM394" s="6"/>
      <c r="AHN394" s="6"/>
      <c r="AHO394" s="6"/>
      <c r="AHP394" s="6"/>
      <c r="AHQ394" s="6"/>
      <c r="AHR394" s="6"/>
      <c r="AHS394" s="6"/>
      <c r="AHT394" s="6"/>
      <c r="AHU394" s="6"/>
      <c r="AHV394" s="6"/>
      <c r="AHW394" s="6"/>
      <c r="AHX394" s="6"/>
      <c r="AHY394" s="6"/>
      <c r="AHZ394" s="6"/>
      <c r="AIA394" s="6"/>
      <c r="AIB394" s="6"/>
      <c r="AIC394" s="6"/>
      <c r="AID394" s="6"/>
      <c r="AIE394" s="6"/>
      <c r="AIF394" s="6"/>
      <c r="AIG394" s="6"/>
      <c r="AIH394" s="6"/>
      <c r="AII394" s="6"/>
      <c r="AIJ394" s="6"/>
      <c r="AIK394" s="6"/>
      <c r="AIL394" s="6"/>
      <c r="AIM394" s="6"/>
      <c r="AIN394" s="6"/>
      <c r="AIO394" s="6"/>
      <c r="AIP394" s="6"/>
      <c r="AIQ394" s="6"/>
      <c r="AIR394" s="6"/>
      <c r="AIS394" s="6"/>
      <c r="AIT394" s="6"/>
      <c r="AIU394" s="6"/>
      <c r="AIV394" s="6"/>
      <c r="AIW394" s="6"/>
      <c r="AIX394" s="6"/>
      <c r="AIY394" s="6"/>
      <c r="AIZ394" s="6"/>
      <c r="AJA394" s="6"/>
      <c r="AJB394" s="6"/>
      <c r="AJC394" s="6"/>
      <c r="AJD394" s="6"/>
      <c r="AJE394" s="6"/>
      <c r="AJF394" s="6"/>
      <c r="AJG394" s="6"/>
      <c r="AJH394" s="6"/>
      <c r="AJI394" s="6"/>
      <c r="AJJ394" s="6"/>
      <c r="AJK394" s="6"/>
      <c r="AJL394" s="6"/>
      <c r="AJM394" s="6"/>
      <c r="AJN394" s="6"/>
      <c r="AJO394" s="6"/>
      <c r="AJP394" s="6"/>
      <c r="AJQ394" s="6"/>
      <c r="AJR394" s="6"/>
      <c r="AJS394" s="6"/>
      <c r="AJT394" s="6"/>
      <c r="AJU394" s="6"/>
      <c r="AJV394" s="6"/>
      <c r="AJW394" s="6"/>
      <c r="AJX394" s="6"/>
      <c r="AJY394" s="6"/>
      <c r="AJZ394" s="6"/>
      <c r="AKA394" s="6"/>
      <c r="AKB394" s="6"/>
      <c r="AKC394" s="6"/>
      <c r="AKD394" s="6"/>
      <c r="AKE394" s="6"/>
      <c r="AKF394" s="6"/>
      <c r="AKG394" s="6"/>
      <c r="AKH394" s="6"/>
      <c r="AKI394" s="6"/>
      <c r="AKJ394" s="6"/>
      <c r="AKK394" s="6"/>
      <c r="AKL394" s="6"/>
      <c r="AKM394" s="6"/>
      <c r="AKN394" s="6"/>
      <c r="AKO394" s="6"/>
      <c r="AKP394" s="6"/>
      <c r="AKQ394" s="6"/>
      <c r="AKR394" s="6"/>
      <c r="AKS394" s="6"/>
      <c r="AKT394" s="6"/>
      <c r="AKU394" s="6"/>
      <c r="AKV394" s="6"/>
      <c r="AKW394" s="6"/>
      <c r="AKX394" s="6"/>
      <c r="AKY394" s="6"/>
      <c r="AKZ394" s="6"/>
      <c r="ALA394" s="6"/>
      <c r="ALB394" s="6"/>
      <c r="ALC394" s="6"/>
      <c r="ALD394" s="6"/>
      <c r="ALE394" s="6"/>
      <c r="ALF394" s="6"/>
      <c r="ALG394" s="6"/>
      <c r="ALH394" s="6"/>
      <c r="ALI394" s="6"/>
      <c r="ALJ394" s="6"/>
      <c r="ALK394" s="6"/>
      <c r="ALL394" s="6"/>
      <c r="ALM394" s="6"/>
      <c r="ALN394" s="6"/>
      <c r="ALO394" s="6"/>
      <c r="ALP394" s="6"/>
      <c r="ALQ394" s="6"/>
      <c r="ALR394" s="6"/>
      <c r="ALS394" s="6"/>
      <c r="ALT394" s="6"/>
      <c r="ALU394" s="6"/>
      <c r="ALV394" s="6"/>
      <c r="ALW394" s="6"/>
      <c r="ALX394" s="6"/>
      <c r="ALY394" s="6"/>
      <c r="ALZ394" s="6"/>
      <c r="AMA394" s="6"/>
      <c r="AMB394" s="6"/>
      <c r="AMC394" s="6"/>
      <c r="AMD394" s="6"/>
      <c r="AME394" s="6"/>
      <c r="AMF394" s="6"/>
      <c r="AMG394" s="6"/>
      <c r="AMH394" s="6"/>
      <c r="AMI394" s="6"/>
      <c r="AMJ394" s="6"/>
      <c r="AMK394" s="6"/>
      <c r="AML394" s="6"/>
      <c r="AMM394" s="6"/>
      <c r="AMN394" s="6"/>
      <c r="AMO394" s="6"/>
      <c r="AMP394" s="6"/>
    </row>
    <row r="395" spans="1:1030" x14ac:dyDescent="0.2">
      <c r="A395" s="3" t="str">
        <f t="shared" si="3326"/>
        <v>calcr_human_5UZ7</v>
      </c>
      <c r="B395" s="2" t="s">
        <v>400</v>
      </c>
      <c r="C395" s="3" t="s">
        <v>1395</v>
      </c>
      <c r="D395" s="3" t="str">
        <f>IFERROR(MID(VLOOKUP($B395,Seqs!$A:$B,2,0),E395,1),"")</f>
        <v>A</v>
      </c>
      <c r="E395" s="3">
        <v>136</v>
      </c>
      <c r="F395" s="3" t="str">
        <f>IFERROR(MID(VLOOKUP($B395,Seqs!$A:$B,2,0),G395,1),"")</f>
        <v>F</v>
      </c>
      <c r="G395" s="3">
        <v>173</v>
      </c>
      <c r="H395" s="3" t="str">
        <f>IFERROR(MID(VLOOKUP($B395,Seqs!$A:$B,2,0),I395,1),"")</f>
        <v>R</v>
      </c>
      <c r="I395" s="23">
        <v>174</v>
      </c>
      <c r="J395" s="3" t="str">
        <f>IFERROR(MID(VLOOKUP($B395,Seqs!$A:$B,2,0),K395,1),"")</f>
        <v>G</v>
      </c>
      <c r="K395" s="23">
        <v>177</v>
      </c>
      <c r="L395" s="3" t="str">
        <f>IFERROR(MID(VLOOKUP($B395,Seqs!$A:$B,2,0),M395,1),"")</f>
        <v>C</v>
      </c>
      <c r="M395" s="3">
        <v>178</v>
      </c>
      <c r="N395" s="3" t="str">
        <f>IFERROR(MID(VLOOKUP($B395,Seqs!$A:$B,2,0),O395,1),"")</f>
        <v>V</v>
      </c>
      <c r="O395" s="3">
        <v>205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D</v>
      </c>
      <c r="U395" s="3">
        <v>215</v>
      </c>
      <c r="V395" s="3" t="str">
        <f>IFERROR(MID(VLOOKUP($B395,Seqs!$A:$B,2,0),W395,1),"")</f>
        <v>V</v>
      </c>
      <c r="W395" s="3">
        <v>250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R</v>
      </c>
      <c r="AC395" s="3">
        <v>258</v>
      </c>
      <c r="AD395" s="3" t="str">
        <f>IFERROR(MID(VLOOKUP($B395,Seqs!$A:$B,2,0),AE395,1),"")</f>
        <v>F</v>
      </c>
      <c r="AE395" s="3">
        <v>285</v>
      </c>
      <c r="AF395" s="3" t="str">
        <f>IFERROR(MID(VLOOKUP($B395,Seqs!$A:$B,2,0),AG395,1),"")</f>
        <v>C</v>
      </c>
      <c r="AG395" s="3">
        <v>289</v>
      </c>
      <c r="AH395" s="3" t="str">
        <f>IFERROR(MID(VLOOKUP($B395,Seqs!$A:$B,2,0),AI395,1),"")</f>
        <v>L</v>
      </c>
      <c r="AI395" s="3">
        <v>291</v>
      </c>
      <c r="AJ395" s="3" t="str">
        <f>IFERROR(MID(VLOOKUP($B395,Seqs!$A:$B,2,0),AK395,1),"")</f>
        <v>L</v>
      </c>
      <c r="AK395" s="3">
        <v>298</v>
      </c>
      <c r="AL395" s="3" t="str">
        <f>IFERROR(MID(VLOOKUP($B395,Seqs!$A:$B,2,0),AM395,1),"")</f>
        <v>R</v>
      </c>
      <c r="AM395" s="3">
        <v>328</v>
      </c>
      <c r="AN395" s="3" t="str">
        <f>IFERROR(MID(VLOOKUP($B395,Seqs!$A:$B,2,0),AO395,1),"")</f>
        <v>L</v>
      </c>
      <c r="AO395" s="3">
        <v>352</v>
      </c>
      <c r="AP395" s="3" t="str">
        <f>IFERROR(MID(VLOOKUP($B395,Seqs!$A:$B,2,0),AQ395,1),"")</f>
        <v>P</v>
      </c>
      <c r="AQ395" s="3">
        <v>360</v>
      </c>
      <c r="AR395" s="3" t="str">
        <f>IFERROR(MID(VLOOKUP($B395,Seqs!$A:$B,2,0),AS395,1),"")</f>
        <v>K</v>
      </c>
      <c r="AS395" s="3">
        <v>366</v>
      </c>
      <c r="AT395" s="3" t="str">
        <f>IFERROR(MID(VLOOKUP($B395,Seqs!$A:$B,2,0),AU395,1),"")</f>
        <v>C</v>
      </c>
      <c r="AU395" s="3">
        <v>394</v>
      </c>
      <c r="AV395" s="3" t="str">
        <f>IFERROR(MID(VLOOKUP($B395,Seqs!$A:$B,2,0),AW395,1),"")</f>
        <v>N</v>
      </c>
      <c r="AW395" s="3">
        <v>395</v>
      </c>
      <c r="AX395" s="3" t="str">
        <f>IFERROR(MID(VLOOKUP($B395,Seqs!$A:$B,2,0),AY395,1),"")</f>
        <v>G</v>
      </c>
      <c r="AY395" s="3">
        <v>418</v>
      </c>
      <c r="AZ395" s="77" t="str">
        <f>VLOOKUP(B395,Classification!A:D,2,0)</f>
        <v>B1</v>
      </c>
      <c r="BA395" s="94" t="str">
        <f>VLOOKUP(B395,Classification!A:D,4,0)</f>
        <v>Calcitonin</v>
      </c>
      <c r="BB395" s="27" t="b">
        <f t="shared" si="3299"/>
        <v>1</v>
      </c>
      <c r="BC395" s="23">
        <f t="shared" si="3300"/>
        <v>232</v>
      </c>
      <c r="BD395" s="4" t="s">
        <v>23</v>
      </c>
      <c r="BE395" s="3" t="s">
        <v>1285</v>
      </c>
      <c r="BF395" s="118">
        <v>4.0999999999999996</v>
      </c>
      <c r="BG395" s="49" t="s">
        <v>1371</v>
      </c>
      <c r="BH395" s="49" t="s">
        <v>1371</v>
      </c>
      <c r="BI395" s="1"/>
      <c r="BJ395" s="70" t="s">
        <v>1281</v>
      </c>
      <c r="BK395" s="57" t="s">
        <v>1281</v>
      </c>
      <c r="BL395" s="57" t="s">
        <v>1281</v>
      </c>
      <c r="BM395" s="57" t="s">
        <v>1281</v>
      </c>
      <c r="BN395" s="57" t="s">
        <v>1281</v>
      </c>
      <c r="BO395" s="57" t="s">
        <v>1281</v>
      </c>
      <c r="BP395" s="57" t="s">
        <v>1281</v>
      </c>
      <c r="BQ395" s="57" t="s">
        <v>1281</v>
      </c>
      <c r="BR395" s="57" t="s">
        <v>1281</v>
      </c>
      <c r="BS395" s="57" t="s">
        <v>1281</v>
      </c>
      <c r="BT395" s="57" t="s">
        <v>1281</v>
      </c>
      <c r="BU395" s="57" t="s">
        <v>1281</v>
      </c>
      <c r="BV395" s="70">
        <f t="shared" si="3301"/>
        <v>136</v>
      </c>
      <c r="BW395" s="71">
        <f t="shared" si="3302"/>
        <v>174</v>
      </c>
      <c r="BX395" s="72">
        <f t="shared" si="3303"/>
        <v>178</v>
      </c>
      <c r="BY395" s="71" t="str">
        <f t="shared" si="3304"/>
        <v>-</v>
      </c>
      <c r="BZ395" s="72">
        <f t="shared" si="3305"/>
        <v>215</v>
      </c>
      <c r="CA395" s="71" t="str">
        <f t="shared" si="3306"/>
        <v>-</v>
      </c>
      <c r="CB395" s="72">
        <f t="shared" si="3307"/>
        <v>258</v>
      </c>
      <c r="CC395" s="71">
        <f t="shared" si="3308"/>
        <v>289</v>
      </c>
      <c r="CD395" s="72">
        <f t="shared" si="3309"/>
        <v>298</v>
      </c>
      <c r="CE395" s="71">
        <f t="shared" si="3310"/>
        <v>352</v>
      </c>
      <c r="CF395" s="72">
        <f t="shared" si="3311"/>
        <v>366</v>
      </c>
      <c r="CG395" s="71">
        <f t="shared" si="3312"/>
        <v>395</v>
      </c>
      <c r="CH395" s="70">
        <f t="shared" si="3313"/>
        <v>173</v>
      </c>
      <c r="CI395" s="71">
        <f t="shared" si="3314"/>
        <v>177</v>
      </c>
      <c r="CJ395" s="72">
        <f t="shared" si="3315"/>
        <v>205</v>
      </c>
      <c r="CK395" s="72" t="str">
        <f t="shared" si="3316"/>
        <v>-</v>
      </c>
      <c r="CL395" s="72">
        <f t="shared" si="3317"/>
        <v>250</v>
      </c>
      <c r="CM395" s="72" t="str">
        <f t="shared" si="3318"/>
        <v>-</v>
      </c>
      <c r="CN395" s="72">
        <f t="shared" si="3319"/>
        <v>285</v>
      </c>
      <c r="CO395" s="72">
        <f t="shared" si="3320"/>
        <v>291</v>
      </c>
      <c r="CP395" s="72">
        <f t="shared" si="3321"/>
        <v>328</v>
      </c>
      <c r="CQ395" s="72">
        <f t="shared" si="3322"/>
        <v>360</v>
      </c>
      <c r="CR395" s="72">
        <f t="shared" si="3323"/>
        <v>394</v>
      </c>
      <c r="CS395" s="72">
        <f t="shared" si="3324"/>
        <v>418</v>
      </c>
      <c r="CT395" s="23">
        <f t="shared" si="3325"/>
        <v>1</v>
      </c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6"/>
      <c r="ACQ395" s="6"/>
      <c r="ACR395" s="6"/>
      <c r="ACS395" s="6"/>
      <c r="ACT395" s="6"/>
      <c r="ACU395" s="6"/>
      <c r="ACV395" s="6"/>
      <c r="ACW395" s="6"/>
      <c r="ACX395" s="6"/>
      <c r="ACY395" s="6"/>
      <c r="ACZ395" s="6"/>
      <c r="ADA395" s="6"/>
      <c r="ADB395" s="6"/>
      <c r="ADC395" s="6"/>
      <c r="ADD395" s="6"/>
      <c r="ADE395" s="6"/>
      <c r="ADF395" s="6"/>
      <c r="ADG395" s="6"/>
      <c r="ADH395" s="6"/>
      <c r="ADI395" s="6"/>
      <c r="ADJ395" s="6"/>
      <c r="ADK395" s="6"/>
      <c r="ADL395" s="6"/>
      <c r="ADM395" s="6"/>
      <c r="ADN395" s="6"/>
      <c r="ADO395" s="6"/>
      <c r="ADP395" s="6"/>
      <c r="ADQ395" s="6"/>
      <c r="ADR395" s="6"/>
      <c r="ADS395" s="6"/>
      <c r="ADT395" s="6"/>
      <c r="ADU395" s="6"/>
      <c r="ADV395" s="6"/>
      <c r="ADW395" s="6"/>
      <c r="ADX395" s="6"/>
      <c r="ADY395" s="6"/>
      <c r="ADZ395" s="6"/>
      <c r="AEA395" s="6"/>
      <c r="AEB395" s="6"/>
      <c r="AEC395" s="6"/>
      <c r="AED395" s="6"/>
      <c r="AEE395" s="6"/>
      <c r="AEF395" s="6"/>
      <c r="AEG395" s="6"/>
      <c r="AEH395" s="6"/>
      <c r="AEI395" s="6"/>
      <c r="AEJ395" s="6"/>
      <c r="AEK395" s="6"/>
      <c r="AEL395" s="6"/>
      <c r="AEM395" s="6"/>
      <c r="AEN395" s="6"/>
      <c r="AEO395" s="6"/>
      <c r="AEP395" s="6"/>
      <c r="AEQ395" s="6"/>
      <c r="AER395" s="6"/>
      <c r="AES395" s="6"/>
      <c r="AET395" s="6"/>
      <c r="AEU395" s="6"/>
      <c r="AEV395" s="6"/>
      <c r="AEW395" s="6"/>
      <c r="AEX395" s="6"/>
      <c r="AEY395" s="6"/>
      <c r="AEZ395" s="6"/>
      <c r="AFA395" s="6"/>
      <c r="AFB395" s="6"/>
      <c r="AFC395" s="6"/>
      <c r="AFD395" s="6"/>
      <c r="AFE395" s="6"/>
      <c r="AFF395" s="6"/>
      <c r="AFG395" s="6"/>
      <c r="AFH395" s="6"/>
      <c r="AFI395" s="6"/>
      <c r="AFJ395" s="6"/>
      <c r="AFK395" s="6"/>
      <c r="AFL395" s="6"/>
      <c r="AFM395" s="6"/>
      <c r="AFN395" s="6"/>
      <c r="AFO395" s="6"/>
      <c r="AFP395" s="6"/>
      <c r="AFQ395" s="6"/>
      <c r="AFR395" s="6"/>
      <c r="AFS395" s="6"/>
      <c r="AFT395" s="6"/>
      <c r="AFU395" s="6"/>
      <c r="AFV395" s="6"/>
      <c r="AFW395" s="6"/>
      <c r="AFX395" s="6"/>
      <c r="AFY395" s="6"/>
      <c r="AFZ395" s="6"/>
      <c r="AGA395" s="6"/>
      <c r="AGB395" s="6"/>
      <c r="AGC395" s="6"/>
      <c r="AGD395" s="6"/>
      <c r="AGE395" s="6"/>
      <c r="AGF395" s="6"/>
      <c r="AGG395" s="6"/>
      <c r="AGH395" s="6"/>
      <c r="AGI395" s="6"/>
      <c r="AGJ395" s="6"/>
      <c r="AGK395" s="6"/>
      <c r="AGL395" s="6"/>
      <c r="AGM395" s="6"/>
      <c r="AGN395" s="6"/>
      <c r="AGO395" s="6"/>
      <c r="AGP395" s="6"/>
      <c r="AGQ395" s="6"/>
      <c r="AGR395" s="6"/>
      <c r="AGS395" s="6"/>
      <c r="AGT395" s="6"/>
      <c r="AGU395" s="6"/>
      <c r="AGV395" s="6"/>
      <c r="AGW395" s="6"/>
      <c r="AGX395" s="6"/>
      <c r="AGY395" s="6"/>
      <c r="AGZ395" s="6"/>
      <c r="AHA395" s="6"/>
      <c r="AHB395" s="6"/>
      <c r="AHC395" s="6"/>
      <c r="AHD395" s="6"/>
      <c r="AHE395" s="6"/>
      <c r="AHF395" s="6"/>
      <c r="AHG395" s="6"/>
      <c r="AHH395" s="6"/>
      <c r="AHI395" s="6"/>
      <c r="AHJ395" s="6"/>
      <c r="AHK395" s="6"/>
      <c r="AHL395" s="6"/>
      <c r="AHM395" s="6"/>
      <c r="AHN395" s="6"/>
      <c r="AHO395" s="6"/>
      <c r="AHP395" s="6"/>
      <c r="AHQ395" s="6"/>
      <c r="AHR395" s="6"/>
      <c r="AHS395" s="6"/>
      <c r="AHT395" s="6"/>
      <c r="AHU395" s="6"/>
      <c r="AHV395" s="6"/>
      <c r="AHW395" s="6"/>
      <c r="AHX395" s="6"/>
      <c r="AHY395" s="6"/>
      <c r="AHZ395" s="6"/>
      <c r="AIA395" s="6"/>
      <c r="AIB395" s="6"/>
      <c r="AIC395" s="6"/>
      <c r="AID395" s="6"/>
      <c r="AIE395" s="6"/>
      <c r="AIF395" s="6"/>
      <c r="AIG395" s="6"/>
      <c r="AIH395" s="6"/>
      <c r="AII395" s="6"/>
      <c r="AIJ395" s="6"/>
      <c r="AIK395" s="6"/>
      <c r="AIL395" s="6"/>
      <c r="AIM395" s="6"/>
      <c r="AIN395" s="6"/>
      <c r="AIO395" s="6"/>
      <c r="AIP395" s="6"/>
      <c r="AIQ395" s="6"/>
      <c r="AIR395" s="6"/>
      <c r="AIS395" s="6"/>
      <c r="AIT395" s="6"/>
      <c r="AIU395" s="6"/>
      <c r="AIV395" s="6"/>
      <c r="AIW395" s="6"/>
      <c r="AIX395" s="6"/>
      <c r="AIY395" s="6"/>
      <c r="AIZ395" s="6"/>
      <c r="AJA395" s="6"/>
      <c r="AJB395" s="6"/>
      <c r="AJC395" s="6"/>
      <c r="AJD395" s="6"/>
      <c r="AJE395" s="6"/>
      <c r="AJF395" s="6"/>
      <c r="AJG395" s="6"/>
      <c r="AJH395" s="6"/>
      <c r="AJI395" s="6"/>
      <c r="AJJ395" s="6"/>
      <c r="AJK395" s="6"/>
      <c r="AJL395" s="6"/>
      <c r="AJM395" s="6"/>
      <c r="AJN395" s="6"/>
      <c r="AJO395" s="6"/>
      <c r="AJP395" s="6"/>
      <c r="AJQ395" s="6"/>
      <c r="AJR395" s="6"/>
      <c r="AJS395" s="6"/>
      <c r="AJT395" s="6"/>
      <c r="AJU395" s="6"/>
      <c r="AJV395" s="6"/>
      <c r="AJW395" s="6"/>
      <c r="AJX395" s="6"/>
      <c r="AJY395" s="6"/>
      <c r="AJZ395" s="6"/>
      <c r="AKA395" s="6"/>
      <c r="AKB395" s="6"/>
      <c r="AKC395" s="6"/>
      <c r="AKD395" s="6"/>
      <c r="AKE395" s="6"/>
      <c r="AKF395" s="6"/>
      <c r="AKG395" s="6"/>
      <c r="AKH395" s="6"/>
      <c r="AKI395" s="6"/>
      <c r="AKJ395" s="6"/>
      <c r="AKK395" s="6"/>
      <c r="AKL395" s="6"/>
      <c r="AKM395" s="6"/>
      <c r="AKN395" s="6"/>
      <c r="AKO395" s="6"/>
      <c r="AKP395" s="6"/>
      <c r="AKQ395" s="6"/>
      <c r="AKR395" s="6"/>
      <c r="AKS395" s="6"/>
      <c r="AKT395" s="6"/>
      <c r="AKU395" s="6"/>
      <c r="AKV395" s="6"/>
      <c r="AKW395" s="6"/>
      <c r="AKX395" s="6"/>
      <c r="AKY395" s="6"/>
      <c r="AKZ395" s="6"/>
      <c r="ALA395" s="6"/>
      <c r="ALB395" s="6"/>
      <c r="ALC395" s="6"/>
      <c r="ALD395" s="6"/>
      <c r="ALE395" s="6"/>
      <c r="ALF395" s="6"/>
      <c r="ALG395" s="6"/>
      <c r="ALH395" s="6"/>
      <c r="ALI395" s="6"/>
      <c r="ALJ395" s="6"/>
      <c r="ALK395" s="6"/>
      <c r="ALL395" s="6"/>
      <c r="ALM395" s="6"/>
      <c r="ALN395" s="6"/>
      <c r="ALO395" s="6"/>
      <c r="ALP395" s="6"/>
      <c r="ALQ395" s="6"/>
      <c r="ALR395" s="6"/>
      <c r="ALS395" s="6"/>
      <c r="ALT395" s="6"/>
      <c r="ALU395" s="6"/>
      <c r="ALV395" s="6"/>
      <c r="ALW395" s="6"/>
      <c r="ALX395" s="6"/>
      <c r="ALY395" s="6"/>
      <c r="ALZ395" s="6"/>
      <c r="AMA395" s="6"/>
      <c r="AMB395" s="6"/>
      <c r="AMC395" s="6"/>
      <c r="AMD395" s="6"/>
      <c r="AME395" s="6"/>
      <c r="AMF395" s="6"/>
      <c r="AMG395" s="6"/>
      <c r="AMH395" s="6"/>
      <c r="AMI395" s="6"/>
      <c r="AMJ395" s="6"/>
      <c r="AMK395" s="6"/>
      <c r="AML395" s="6"/>
      <c r="AMM395" s="6"/>
      <c r="AMN395" s="6"/>
      <c r="AMO395" s="6"/>
      <c r="AMP395" s="6"/>
    </row>
    <row r="396" spans="1:1030" s="12" customFormat="1" x14ac:dyDescent="0.2">
      <c r="A396" s="9" t="str">
        <f t="shared" ref="A396" si="3383">CONCATENATE(B396,"_",C396)</f>
        <v>calcr_human_6NIY</v>
      </c>
      <c r="B396" s="40" t="s">
        <v>400</v>
      </c>
      <c r="C396" s="9" t="s">
        <v>1545</v>
      </c>
      <c r="D396" s="9" t="str">
        <f>IFERROR(MID(VLOOKUP($B396,Seqs!$A:$B,2,0),E396,1),"")</f>
        <v>T</v>
      </c>
      <c r="E396" s="9">
        <v>138</v>
      </c>
      <c r="F396" s="9" t="str">
        <f>IFERROR(MID(VLOOKUP($B396,Seqs!$A:$B,2,0),G396,1),"")</f>
        <v>F</v>
      </c>
      <c r="G396" s="9">
        <v>173</v>
      </c>
      <c r="H396" s="9" t="str">
        <f>IFERROR(MID(VLOOKUP($B396,Seqs!$A:$B,2,0),I396,1),"")</f>
        <v>R</v>
      </c>
      <c r="I396" s="109">
        <v>174</v>
      </c>
      <c r="J396" s="9" t="str">
        <f>IFERROR(MID(VLOOKUP($B396,Seqs!$A:$B,2,0),K396,1),"")</f>
        <v>G</v>
      </c>
      <c r="K396" s="109">
        <v>177</v>
      </c>
      <c r="L396" s="9" t="str">
        <f>IFERROR(MID(VLOOKUP($B396,Seqs!$A:$B,2,0),M396,1),"")</f>
        <v>C</v>
      </c>
      <c r="M396" s="9">
        <v>178</v>
      </c>
      <c r="N396" s="9" t="str">
        <f>IFERROR(MID(VLOOKUP($B396,Seqs!$A:$B,2,0),O396,1),"")</f>
        <v>V</v>
      </c>
      <c r="O396" s="9">
        <v>205</v>
      </c>
      <c r="P396" s="9" t="str">
        <f>IFERROR(MID(VLOOKUP($B396,Seqs!$A:$B,2,0),Q396,1),"")</f>
        <v/>
      </c>
      <c r="Q396" s="9" t="s">
        <v>23</v>
      </c>
      <c r="R396" s="9" t="str">
        <f>IFERROR(MID(VLOOKUP($B396,Seqs!$A:$B,2,0),S396,1),"")</f>
        <v/>
      </c>
      <c r="S396" s="9" t="s">
        <v>23</v>
      </c>
      <c r="T396" s="9" t="str">
        <f>IFERROR(MID(VLOOKUP($B396,Seqs!$A:$B,2,0),U396,1),"")</f>
        <v>V</v>
      </c>
      <c r="U396" s="9">
        <v>217</v>
      </c>
      <c r="V396" s="9" t="str">
        <f>IFERROR(MID(VLOOKUP($B396,Seqs!$A:$B,2,0),W396,1),"")</f>
        <v>V</v>
      </c>
      <c r="W396" s="9">
        <v>250</v>
      </c>
      <c r="X396" s="9" t="str">
        <f>IFERROR(MID(VLOOKUP($B396,Seqs!$A:$B,2,0),Y396,1),"")</f>
        <v/>
      </c>
      <c r="Y396" s="9" t="s">
        <v>23</v>
      </c>
      <c r="Z396" s="9" t="str">
        <f>IFERROR(MID(VLOOKUP($B396,Seqs!$A:$B,2,0),AA396,1),"")</f>
        <v/>
      </c>
      <c r="AA396" s="9" t="s">
        <v>23</v>
      </c>
      <c r="AB396" s="9" t="str">
        <f>IFERROR(MID(VLOOKUP($B396,Seqs!$A:$B,2,0),AC396,1),"")</f>
        <v>R</v>
      </c>
      <c r="AC396" s="9">
        <v>258</v>
      </c>
      <c r="AD396" s="9" t="str">
        <f>IFERROR(MID(VLOOKUP($B396,Seqs!$A:$B,2,0),AE396,1),"")</f>
        <v>F</v>
      </c>
      <c r="AE396" s="9">
        <v>285</v>
      </c>
      <c r="AF396" s="9" t="str">
        <f>IFERROR(MID(VLOOKUP($B396,Seqs!$A:$B,2,0),AG396,1),"")</f>
        <v>C</v>
      </c>
      <c r="AG396" s="9">
        <v>289</v>
      </c>
      <c r="AH396" s="9" t="str">
        <f>IFERROR(MID(VLOOKUP($B396,Seqs!$A:$B,2,0),AI396,1),"")</f>
        <v>L</v>
      </c>
      <c r="AI396" s="9">
        <v>291</v>
      </c>
      <c r="AJ396" s="9" t="str">
        <f>IFERROR(MID(VLOOKUP($B396,Seqs!$A:$B,2,0),AK396,1),"")</f>
        <v>L</v>
      </c>
      <c r="AK396" s="9">
        <v>298</v>
      </c>
      <c r="AL396" s="9" t="str">
        <f>IFERROR(MID(VLOOKUP($B396,Seqs!$A:$B,2,0),AM396,1),"")</f>
        <v>T</v>
      </c>
      <c r="AM396" s="9">
        <v>330</v>
      </c>
      <c r="AN396" s="9" t="str">
        <f>IFERROR(MID(VLOOKUP($B396,Seqs!$A:$B,2,0),AO396,1),"")</f>
        <v>H</v>
      </c>
      <c r="AO396" s="9">
        <v>336</v>
      </c>
      <c r="AP396" s="9" t="str">
        <f>IFERROR(MID(VLOOKUP($B396,Seqs!$A:$B,2,0),AQ396,1),"")</f>
        <v>F</v>
      </c>
      <c r="AQ396" s="9">
        <v>359</v>
      </c>
      <c r="AR396" s="9" t="str">
        <f>IFERROR(MID(VLOOKUP($B396,Seqs!$A:$B,2,0),AS396,1),"")</f>
        <v>N</v>
      </c>
      <c r="AS396" s="9">
        <v>365</v>
      </c>
      <c r="AT396" s="9" t="str">
        <f>IFERROR(MID(VLOOKUP($B396,Seqs!$A:$B,2,0),AU396,1),"")</f>
        <v>C</v>
      </c>
      <c r="AU396" s="9">
        <v>394</v>
      </c>
      <c r="AV396" s="9" t="str">
        <f>IFERROR(MID(VLOOKUP($B396,Seqs!$A:$B,2,0),AW396,1),"")</f>
        <v>N</v>
      </c>
      <c r="AW396" s="9">
        <v>395</v>
      </c>
      <c r="AX396" s="9" t="str">
        <f>IFERROR(MID(VLOOKUP($B396,Seqs!$A:$B,2,0),AY396,1),"")</f>
        <v>Q</v>
      </c>
      <c r="AY396" s="9">
        <v>412</v>
      </c>
      <c r="AZ396" s="110" t="str">
        <f>VLOOKUP(B396,Classification!A:D,2,0)</f>
        <v>B1</v>
      </c>
      <c r="BA396" s="98" t="str">
        <f>VLOOKUP(B396,Classification!A:D,4,0)</f>
        <v>Calcitonin</v>
      </c>
      <c r="BB396" s="36" t="b">
        <f t="shared" ref="BB396" si="3384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109">
        <f t="shared" ref="BC396" si="3385">_xlfn.AGGREGATE(9,6,CH396:CS396)-_xlfn.AGGREGATE(9,6,BV396:CG396)+12</f>
        <v>240</v>
      </c>
      <c r="BD396" s="11" t="s">
        <v>1369</v>
      </c>
      <c r="BE396" s="9" t="s">
        <v>1285</v>
      </c>
      <c r="BF396" s="119">
        <v>3.34</v>
      </c>
      <c r="BG396" s="51" t="s">
        <v>1416</v>
      </c>
      <c r="BH396" s="51" t="s">
        <v>1416</v>
      </c>
      <c r="BJ396" s="111" t="s">
        <v>1281</v>
      </c>
      <c r="BK396" s="112" t="s">
        <v>1281</v>
      </c>
      <c r="BL396" s="112" t="s">
        <v>1281</v>
      </c>
      <c r="BM396" s="112" t="s">
        <v>1281</v>
      </c>
      <c r="BN396" s="112" t="s">
        <v>1281</v>
      </c>
      <c r="BO396" s="112" t="s">
        <v>1281</v>
      </c>
      <c r="BP396" s="112" t="s">
        <v>1281</v>
      </c>
      <c r="BQ396" s="112" t="s">
        <v>1281</v>
      </c>
      <c r="BR396" s="112" t="s">
        <v>1281</v>
      </c>
      <c r="BS396" s="112" t="s">
        <v>1281</v>
      </c>
      <c r="BT396" s="112" t="s">
        <v>1281</v>
      </c>
      <c r="BU396" s="112" t="s">
        <v>1281</v>
      </c>
      <c r="BV396" s="111">
        <f t="shared" ref="BV396" si="3386">E396</f>
        <v>138</v>
      </c>
      <c r="BW396" s="113">
        <f t="shared" ref="BW396" si="3387">I396</f>
        <v>174</v>
      </c>
      <c r="BX396" s="114">
        <f t="shared" ref="BX396" si="3388">M396</f>
        <v>178</v>
      </c>
      <c r="BY396" s="113" t="str">
        <f t="shared" ref="BY396" si="3389">Q396</f>
        <v>-</v>
      </c>
      <c r="BZ396" s="114">
        <f t="shared" ref="BZ396" si="3390">U396</f>
        <v>217</v>
      </c>
      <c r="CA396" s="113" t="str">
        <f t="shared" ref="CA396" si="3391">Y396</f>
        <v>-</v>
      </c>
      <c r="CB396" s="114">
        <f t="shared" ref="CB396" si="3392">AC396</f>
        <v>258</v>
      </c>
      <c r="CC396" s="113">
        <f t="shared" ref="CC396" si="3393">AG396</f>
        <v>289</v>
      </c>
      <c r="CD396" s="114">
        <f t="shared" ref="CD396" si="3394">AK396</f>
        <v>298</v>
      </c>
      <c r="CE396" s="113">
        <f t="shared" ref="CE396" si="3395">AO396</f>
        <v>336</v>
      </c>
      <c r="CF396" s="114">
        <f t="shared" ref="CF396" si="3396">AS396</f>
        <v>365</v>
      </c>
      <c r="CG396" s="113">
        <f t="shared" ref="CG396" si="3397">AW396</f>
        <v>395</v>
      </c>
      <c r="CH396" s="111">
        <f t="shared" ref="CH396" si="3398">G396</f>
        <v>173</v>
      </c>
      <c r="CI396" s="113">
        <f t="shared" ref="CI396" si="3399">K396</f>
        <v>177</v>
      </c>
      <c r="CJ396" s="114">
        <f t="shared" ref="CJ396" si="3400">O396</f>
        <v>205</v>
      </c>
      <c r="CK396" s="114" t="str">
        <f t="shared" ref="CK396" si="3401">S396</f>
        <v>-</v>
      </c>
      <c r="CL396" s="114">
        <f t="shared" ref="CL396" si="3402">W396</f>
        <v>250</v>
      </c>
      <c r="CM396" s="114" t="str">
        <f t="shared" ref="CM396" si="3403">AA396</f>
        <v>-</v>
      </c>
      <c r="CN396" s="114">
        <f t="shared" ref="CN396" si="3404">AE396</f>
        <v>285</v>
      </c>
      <c r="CO396" s="114">
        <f t="shared" ref="CO396" si="3405">AI396</f>
        <v>291</v>
      </c>
      <c r="CP396" s="114">
        <f t="shared" ref="CP396" si="3406">AM396</f>
        <v>330</v>
      </c>
      <c r="CQ396" s="114">
        <f t="shared" ref="CQ396" si="3407">AQ396</f>
        <v>359</v>
      </c>
      <c r="CR396" s="114">
        <f t="shared" ref="CR396" si="3408">AU396</f>
        <v>394</v>
      </c>
      <c r="CS396" s="114">
        <f t="shared" ref="CS396" si="3409">AY396</f>
        <v>412</v>
      </c>
      <c r="CT396" s="109">
        <f t="shared" ref="CT396" si="3410">M396-K396</f>
        <v>1</v>
      </c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28"/>
      <c r="FA396" s="128"/>
      <c r="FB396" s="128"/>
      <c r="FC396" s="128"/>
      <c r="FD396" s="128"/>
      <c r="FE396" s="128"/>
      <c r="FF396" s="128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  <c r="GW396" s="128"/>
      <c r="GX396" s="128"/>
      <c r="GY396" s="128"/>
      <c r="GZ396" s="128"/>
      <c r="HA396" s="128"/>
      <c r="HB396" s="128"/>
      <c r="HC396" s="128"/>
      <c r="HD396" s="128"/>
      <c r="HE396" s="128"/>
      <c r="HF396" s="128"/>
      <c r="HG396" s="128"/>
      <c r="HH396" s="128"/>
      <c r="HI396" s="128"/>
      <c r="HJ396" s="128"/>
      <c r="HK396" s="128"/>
      <c r="HL396" s="128"/>
      <c r="HM396" s="128"/>
      <c r="HN396" s="128"/>
      <c r="HO396" s="128"/>
      <c r="HP396" s="128"/>
      <c r="HQ396" s="128"/>
      <c r="HR396" s="128"/>
      <c r="HS396" s="128"/>
      <c r="HT396" s="128"/>
      <c r="HU396" s="128"/>
      <c r="HV396" s="128"/>
      <c r="HW396" s="128"/>
      <c r="HX396" s="128"/>
      <c r="HY396" s="128"/>
      <c r="HZ396" s="128"/>
      <c r="IA396" s="128"/>
      <c r="IB396" s="128"/>
      <c r="IC396" s="128"/>
      <c r="ID396" s="128"/>
      <c r="IE396" s="128"/>
      <c r="IF396" s="128"/>
      <c r="IG396" s="128"/>
      <c r="IH396" s="128"/>
      <c r="II396" s="128"/>
      <c r="IJ396" s="128"/>
      <c r="IK396" s="128"/>
      <c r="IL396" s="128"/>
      <c r="IM396" s="128"/>
      <c r="IN396" s="128"/>
      <c r="IO396" s="128"/>
      <c r="IP396" s="128"/>
      <c r="IQ396" s="128"/>
      <c r="IR396" s="128"/>
      <c r="IS396" s="128"/>
      <c r="IT396" s="128"/>
      <c r="IU396" s="128"/>
      <c r="IV396" s="128"/>
      <c r="IW396" s="128"/>
      <c r="IX396" s="128"/>
      <c r="IY396" s="128"/>
      <c r="IZ396" s="128"/>
      <c r="JA396" s="128"/>
      <c r="JB396" s="128"/>
      <c r="JC396" s="128"/>
      <c r="JD396" s="128"/>
      <c r="JE396" s="128"/>
      <c r="JF396" s="128"/>
      <c r="JG396" s="128"/>
      <c r="JH396" s="128"/>
      <c r="JI396" s="128"/>
      <c r="JJ396" s="128"/>
      <c r="JK396" s="128"/>
      <c r="JL396" s="128"/>
      <c r="JM396" s="128"/>
      <c r="JN396" s="128"/>
      <c r="JO396" s="128"/>
      <c r="JP396" s="128"/>
      <c r="JQ396" s="128"/>
      <c r="JR396" s="128"/>
      <c r="JS396" s="128"/>
      <c r="JT396" s="128"/>
      <c r="JU396" s="128"/>
      <c r="JV396" s="128"/>
      <c r="JW396" s="128"/>
      <c r="JX396" s="128"/>
      <c r="JY396" s="128"/>
      <c r="JZ396" s="128"/>
      <c r="KA396" s="128"/>
      <c r="KB396" s="128"/>
      <c r="KC396" s="128"/>
      <c r="KD396" s="128"/>
      <c r="KE396" s="128"/>
      <c r="KF396" s="128"/>
      <c r="KG396" s="128"/>
      <c r="KH396" s="128"/>
      <c r="KI396" s="128"/>
      <c r="KJ396" s="128"/>
      <c r="KK396" s="128"/>
      <c r="KL396" s="128"/>
      <c r="KM396" s="128"/>
      <c r="KN396" s="128"/>
      <c r="KO396" s="128"/>
      <c r="KP396" s="128"/>
      <c r="KQ396" s="128"/>
      <c r="KR396" s="128"/>
      <c r="KS396" s="128"/>
      <c r="KT396" s="128"/>
      <c r="KU396" s="128"/>
      <c r="KV396" s="128"/>
      <c r="KW396" s="128"/>
      <c r="KX396" s="128"/>
      <c r="KY396" s="128"/>
      <c r="KZ396" s="128"/>
      <c r="LA396" s="128"/>
      <c r="LB396" s="128"/>
      <c r="LC396" s="128"/>
      <c r="LD396" s="128"/>
      <c r="LE396" s="128"/>
      <c r="LF396" s="128"/>
      <c r="LG396" s="128"/>
      <c r="LH396" s="128"/>
      <c r="LI396" s="128"/>
      <c r="LJ396" s="128"/>
      <c r="LK396" s="128"/>
      <c r="LL396" s="128"/>
      <c r="LM396" s="128"/>
      <c r="LN396" s="128"/>
      <c r="LO396" s="128"/>
      <c r="LP396" s="128"/>
      <c r="LQ396" s="128"/>
      <c r="LR396" s="128"/>
      <c r="LS396" s="128"/>
      <c r="LT396" s="128"/>
      <c r="LU396" s="128"/>
      <c r="LV396" s="128"/>
      <c r="LW396" s="128"/>
      <c r="LX396" s="128"/>
      <c r="LY396" s="128"/>
      <c r="LZ396" s="128"/>
      <c r="MA396" s="128"/>
      <c r="MB396" s="128"/>
      <c r="MC396" s="128"/>
      <c r="MD396" s="128"/>
      <c r="ME396" s="128"/>
      <c r="MF396" s="128"/>
      <c r="MG396" s="128"/>
      <c r="MH396" s="128"/>
      <c r="MI396" s="128"/>
      <c r="MJ396" s="128"/>
      <c r="MK396" s="128"/>
      <c r="ML396" s="128"/>
      <c r="MM396" s="128"/>
      <c r="MN396" s="128"/>
      <c r="MO396" s="128"/>
      <c r="MP396" s="128"/>
      <c r="MQ396" s="128"/>
      <c r="MR396" s="128"/>
      <c r="MS396" s="128"/>
      <c r="MT396" s="128"/>
      <c r="MU396" s="128"/>
      <c r="MV396" s="128"/>
      <c r="MW396" s="128"/>
      <c r="MX396" s="128"/>
      <c r="MY396" s="128"/>
      <c r="MZ396" s="128"/>
      <c r="NA396" s="128"/>
      <c r="NB396" s="128"/>
      <c r="NC396" s="128"/>
      <c r="ND396" s="128"/>
      <c r="NE396" s="128"/>
      <c r="NF396" s="128"/>
      <c r="NG396" s="128"/>
      <c r="NH396" s="128"/>
      <c r="NI396" s="128"/>
      <c r="NJ396" s="128"/>
      <c r="NK396" s="128"/>
      <c r="NL396" s="128"/>
      <c r="NM396" s="128"/>
      <c r="NN396" s="128"/>
      <c r="NO396" s="128"/>
      <c r="NP396" s="128"/>
      <c r="NQ396" s="128"/>
      <c r="NR396" s="128"/>
      <c r="NS396" s="128"/>
      <c r="NT396" s="128"/>
      <c r="NU396" s="128"/>
      <c r="NV396" s="128"/>
      <c r="NW396" s="128"/>
      <c r="NX396" s="128"/>
      <c r="NY396" s="128"/>
      <c r="NZ396" s="128"/>
      <c r="OA396" s="128"/>
      <c r="OB396" s="128"/>
      <c r="OC396" s="128"/>
      <c r="OD396" s="128"/>
      <c r="OE396" s="128"/>
      <c r="OF396" s="128"/>
      <c r="OG396" s="128"/>
      <c r="OH396" s="128"/>
      <c r="OI396" s="128"/>
      <c r="OJ396" s="128"/>
      <c r="OK396" s="128"/>
      <c r="OL396" s="128"/>
      <c r="OM396" s="128"/>
      <c r="ON396" s="128"/>
      <c r="OO396" s="128"/>
      <c r="OP396" s="128"/>
      <c r="OQ396" s="128"/>
      <c r="OR396" s="128"/>
      <c r="OS396" s="128"/>
      <c r="OT396" s="128"/>
      <c r="OU396" s="128"/>
      <c r="OV396" s="128"/>
      <c r="OW396" s="128"/>
      <c r="OX396" s="128"/>
      <c r="OY396" s="128"/>
      <c r="OZ396" s="128"/>
      <c r="PA396" s="128"/>
      <c r="PB396" s="128"/>
      <c r="PC396" s="128"/>
      <c r="PD396" s="128"/>
      <c r="PE396" s="128"/>
      <c r="PF396" s="128"/>
      <c r="PG396" s="128"/>
      <c r="PH396" s="128"/>
      <c r="PI396" s="128"/>
      <c r="PJ396" s="128"/>
      <c r="PK396" s="128"/>
      <c r="PL396" s="128"/>
      <c r="PM396" s="128"/>
      <c r="PN396" s="128"/>
      <c r="PO396" s="128"/>
      <c r="PP396" s="128"/>
      <c r="PQ396" s="128"/>
      <c r="PR396" s="128"/>
      <c r="PS396" s="128"/>
      <c r="PT396" s="128"/>
      <c r="PU396" s="128"/>
      <c r="PV396" s="128"/>
      <c r="PW396" s="128"/>
      <c r="PX396" s="128"/>
      <c r="PY396" s="128"/>
      <c r="PZ396" s="128"/>
      <c r="QA396" s="128"/>
      <c r="QB396" s="128"/>
      <c r="QC396" s="128"/>
      <c r="QD396" s="128"/>
      <c r="QE396" s="128"/>
      <c r="QF396" s="128"/>
      <c r="QG396" s="128"/>
      <c r="QH396" s="128"/>
      <c r="QI396" s="128"/>
      <c r="QJ396" s="128"/>
      <c r="QK396" s="128"/>
      <c r="QL396" s="128"/>
      <c r="QM396" s="128"/>
      <c r="QN396" s="128"/>
      <c r="QO396" s="128"/>
      <c r="QP396" s="128"/>
      <c r="QQ396" s="128"/>
      <c r="QR396" s="128"/>
      <c r="QS396" s="128"/>
      <c r="QT396" s="128"/>
      <c r="QU396" s="128"/>
      <c r="QV396" s="128"/>
      <c r="QW396" s="128"/>
      <c r="QX396" s="128"/>
      <c r="QY396" s="128"/>
      <c r="QZ396" s="128"/>
      <c r="RA396" s="128"/>
      <c r="RB396" s="128"/>
      <c r="RC396" s="128"/>
      <c r="RD396" s="128"/>
      <c r="RE396" s="128"/>
      <c r="RF396" s="128"/>
      <c r="RG396" s="128"/>
      <c r="RH396" s="128"/>
      <c r="RI396" s="128"/>
      <c r="RJ396" s="128"/>
      <c r="RK396" s="128"/>
      <c r="RL396" s="128"/>
      <c r="RM396" s="128"/>
      <c r="RN396" s="128"/>
      <c r="RO396" s="128"/>
      <c r="RP396" s="128"/>
      <c r="RQ396" s="128"/>
      <c r="RR396" s="128"/>
      <c r="RS396" s="128"/>
      <c r="RT396" s="128"/>
      <c r="RU396" s="128"/>
      <c r="RV396" s="128"/>
      <c r="RW396" s="128"/>
      <c r="RX396" s="128"/>
      <c r="RY396" s="128"/>
      <c r="RZ396" s="128"/>
      <c r="SA396" s="128"/>
      <c r="SB396" s="128"/>
      <c r="SC396" s="128"/>
      <c r="SD396" s="128"/>
      <c r="SE396" s="128"/>
      <c r="SF396" s="128"/>
      <c r="SG396" s="128"/>
      <c r="SH396" s="128"/>
      <c r="SI396" s="128"/>
      <c r="SJ396" s="128"/>
      <c r="SK396" s="128"/>
      <c r="SL396" s="128"/>
      <c r="SM396" s="128"/>
      <c r="SN396" s="128"/>
      <c r="SO396" s="128"/>
      <c r="SP396" s="128"/>
      <c r="SQ396" s="128"/>
      <c r="SR396" s="128"/>
      <c r="SS396" s="128"/>
      <c r="ST396" s="128"/>
      <c r="SU396" s="128"/>
      <c r="SV396" s="128"/>
      <c r="SW396" s="128"/>
      <c r="SX396" s="128"/>
      <c r="SY396" s="128"/>
      <c r="SZ396" s="128"/>
      <c r="TA396" s="128"/>
      <c r="TB396" s="128"/>
      <c r="TC396" s="128"/>
      <c r="TD396" s="128"/>
      <c r="TE396" s="128"/>
      <c r="TF396" s="128"/>
      <c r="TG396" s="128"/>
      <c r="TH396" s="128"/>
      <c r="TI396" s="128"/>
      <c r="TJ396" s="128"/>
      <c r="TK396" s="128"/>
      <c r="TL396" s="128"/>
      <c r="TM396" s="128"/>
      <c r="TN396" s="128"/>
      <c r="TO396" s="128"/>
      <c r="TP396" s="128"/>
      <c r="TQ396" s="128"/>
      <c r="TR396" s="128"/>
      <c r="TS396" s="128"/>
      <c r="TT396" s="128"/>
      <c r="TU396" s="128"/>
      <c r="TV396" s="128"/>
      <c r="TW396" s="128"/>
      <c r="TX396" s="128"/>
      <c r="TY396" s="128"/>
      <c r="TZ396" s="128"/>
      <c r="UA396" s="128"/>
      <c r="UB396" s="128"/>
      <c r="UC396" s="128"/>
      <c r="UD396" s="128"/>
      <c r="UE396" s="128"/>
      <c r="UF396" s="128"/>
      <c r="UG396" s="128"/>
      <c r="UH396" s="128"/>
      <c r="UI396" s="128"/>
      <c r="UJ396" s="128"/>
      <c r="UK396" s="128"/>
      <c r="UL396" s="128"/>
      <c r="UM396" s="128"/>
      <c r="UN396" s="128"/>
      <c r="UO396" s="128"/>
      <c r="UP396" s="128"/>
      <c r="UQ396" s="128"/>
      <c r="UR396" s="128"/>
      <c r="US396" s="128"/>
      <c r="UT396" s="128"/>
      <c r="UU396" s="128"/>
      <c r="UV396" s="128"/>
      <c r="UW396" s="128"/>
      <c r="UX396" s="128"/>
      <c r="UY396" s="128"/>
      <c r="UZ396" s="128"/>
      <c r="VA396" s="128"/>
      <c r="VB396" s="128"/>
      <c r="VC396" s="128"/>
      <c r="VD396" s="128"/>
      <c r="VE396" s="128"/>
      <c r="VF396" s="128"/>
      <c r="VG396" s="128"/>
      <c r="VH396" s="128"/>
      <c r="VI396" s="128"/>
      <c r="VJ396" s="128"/>
      <c r="VK396" s="128"/>
      <c r="VL396" s="128"/>
      <c r="VM396" s="128"/>
      <c r="VN396" s="128"/>
      <c r="VO396" s="128"/>
      <c r="VP396" s="128"/>
      <c r="VQ396" s="128"/>
      <c r="VR396" s="128"/>
      <c r="VS396" s="128"/>
      <c r="VT396" s="128"/>
      <c r="VU396" s="128"/>
      <c r="VV396" s="128"/>
      <c r="VW396" s="128"/>
      <c r="VX396" s="128"/>
      <c r="VY396" s="128"/>
      <c r="VZ396" s="128"/>
      <c r="WA396" s="128"/>
      <c r="WB396" s="128"/>
      <c r="WC396" s="128"/>
      <c r="WD396" s="128"/>
      <c r="WE396" s="128"/>
      <c r="WF396" s="128"/>
      <c r="WG396" s="128"/>
      <c r="WH396" s="128"/>
      <c r="WI396" s="128"/>
      <c r="WJ396" s="128"/>
      <c r="WK396" s="128"/>
      <c r="WL396" s="128"/>
      <c r="WM396" s="128"/>
      <c r="WN396" s="128"/>
      <c r="WO396" s="128"/>
      <c r="WP396" s="128"/>
      <c r="WQ396" s="128"/>
      <c r="WR396" s="128"/>
      <c r="WS396" s="128"/>
      <c r="WT396" s="128"/>
      <c r="WU396" s="128"/>
      <c r="WV396" s="128"/>
      <c r="WW396" s="128"/>
      <c r="WX396" s="128"/>
      <c r="WY396" s="128"/>
      <c r="WZ396" s="128"/>
      <c r="XA396" s="128"/>
      <c r="XB396" s="128"/>
      <c r="XC396" s="128"/>
      <c r="XD396" s="128"/>
      <c r="XE396" s="128"/>
      <c r="XF396" s="128"/>
      <c r="XG396" s="128"/>
      <c r="XH396" s="128"/>
      <c r="XI396" s="128"/>
      <c r="XJ396" s="128"/>
      <c r="XK396" s="128"/>
      <c r="XL396" s="128"/>
      <c r="XM396" s="128"/>
      <c r="XN396" s="128"/>
      <c r="XO396" s="128"/>
      <c r="XP396" s="128"/>
      <c r="XQ396" s="128"/>
      <c r="XR396" s="128"/>
      <c r="XS396" s="128"/>
      <c r="XT396" s="128"/>
      <c r="XU396" s="128"/>
      <c r="XV396" s="128"/>
      <c r="XW396" s="128"/>
      <c r="XX396" s="128"/>
      <c r="XY396" s="128"/>
      <c r="XZ396" s="128"/>
      <c r="YA396" s="128"/>
      <c r="YB396" s="128"/>
      <c r="YC396" s="128"/>
      <c r="YD396" s="128"/>
      <c r="YE396" s="128"/>
      <c r="YF396" s="128"/>
      <c r="YG396" s="128"/>
      <c r="YH396" s="128"/>
      <c r="YI396" s="128"/>
      <c r="YJ396" s="128"/>
      <c r="YK396" s="128"/>
      <c r="YL396" s="128"/>
      <c r="YM396" s="128"/>
      <c r="YN396" s="128"/>
      <c r="YO396" s="128"/>
      <c r="YP396" s="128"/>
      <c r="YQ396" s="128"/>
      <c r="YR396" s="128"/>
      <c r="YS396" s="128"/>
      <c r="YT396" s="128"/>
      <c r="YU396" s="128"/>
      <c r="YV396" s="128"/>
      <c r="YW396" s="128"/>
      <c r="YX396" s="128"/>
      <c r="YY396" s="128"/>
      <c r="YZ396" s="128"/>
      <c r="ZA396" s="128"/>
      <c r="ZB396" s="128"/>
      <c r="ZC396" s="128"/>
      <c r="ZD396" s="128"/>
      <c r="ZE396" s="128"/>
      <c r="ZF396" s="128"/>
      <c r="ZG396" s="128"/>
      <c r="ZH396" s="128"/>
      <c r="ZI396" s="128"/>
      <c r="ZJ396" s="128"/>
      <c r="ZK396" s="128"/>
      <c r="ZL396" s="128"/>
      <c r="ZM396" s="128"/>
      <c r="ZN396" s="128"/>
      <c r="ZO396" s="128"/>
      <c r="ZP396" s="128"/>
      <c r="ZQ396" s="128"/>
      <c r="ZR396" s="128"/>
      <c r="ZS396" s="128"/>
      <c r="ZT396" s="128"/>
      <c r="ZU396" s="128"/>
      <c r="ZV396" s="128"/>
      <c r="ZW396" s="128"/>
      <c r="ZX396" s="128"/>
      <c r="ZY396" s="128"/>
      <c r="ZZ396" s="128"/>
      <c r="AAA396" s="128"/>
      <c r="AAB396" s="128"/>
      <c r="AAC396" s="128"/>
      <c r="AAD396" s="128"/>
      <c r="AAE396" s="128"/>
      <c r="AAF396" s="128"/>
      <c r="AAG396" s="128"/>
      <c r="AAH396" s="128"/>
      <c r="AAI396" s="128"/>
      <c r="AAJ396" s="128"/>
      <c r="AAK396" s="128"/>
      <c r="AAL396" s="128"/>
      <c r="AAM396" s="128"/>
      <c r="AAN396" s="128"/>
      <c r="AAO396" s="128"/>
      <c r="AAP396" s="128"/>
      <c r="AAQ396" s="128"/>
      <c r="AAR396" s="128"/>
      <c r="AAS396" s="128"/>
      <c r="AAT396" s="128"/>
      <c r="AAU396" s="128"/>
      <c r="AAV396" s="128"/>
      <c r="AAW396" s="128"/>
      <c r="AAX396" s="128"/>
      <c r="AAY396" s="128"/>
      <c r="AAZ396" s="128"/>
      <c r="ABA396" s="128"/>
      <c r="ABB396" s="128"/>
      <c r="ABC396" s="128"/>
      <c r="ABD396" s="128"/>
      <c r="ABE396" s="128"/>
      <c r="ABF396" s="128"/>
      <c r="ABG396" s="128"/>
      <c r="ABH396" s="128"/>
      <c r="ABI396" s="128"/>
      <c r="ABJ396" s="128"/>
      <c r="ABK396" s="128"/>
      <c r="ABL396" s="128"/>
      <c r="ABM396" s="128"/>
      <c r="ABN396" s="128"/>
      <c r="ABO396" s="128"/>
      <c r="ABP396" s="128"/>
      <c r="ABQ396" s="128"/>
      <c r="ABR396" s="128"/>
      <c r="ABS396" s="128"/>
      <c r="ABT396" s="128"/>
      <c r="ABU396" s="128"/>
      <c r="ABV396" s="128"/>
      <c r="ABW396" s="128"/>
      <c r="ABX396" s="128"/>
      <c r="ABY396" s="128"/>
      <c r="ABZ396" s="128"/>
      <c r="ACA396" s="128"/>
      <c r="ACB396" s="128"/>
      <c r="ACC396" s="128"/>
      <c r="ACD396" s="128"/>
      <c r="ACE396" s="128"/>
      <c r="ACF396" s="128"/>
      <c r="ACG396" s="128"/>
      <c r="ACH396" s="128"/>
      <c r="ACI396" s="128"/>
      <c r="ACJ396" s="128"/>
      <c r="ACK396" s="128"/>
      <c r="ACL396" s="128"/>
      <c r="ACM396" s="128"/>
      <c r="ACN396" s="128"/>
      <c r="ACO396" s="128"/>
      <c r="ACP396" s="128"/>
      <c r="ACQ396" s="128"/>
      <c r="ACR396" s="128"/>
      <c r="ACS396" s="128"/>
      <c r="ACT396" s="128"/>
      <c r="ACU396" s="128"/>
      <c r="ACV396" s="128"/>
      <c r="ACW396" s="128"/>
      <c r="ACX396" s="128"/>
      <c r="ACY396" s="128"/>
      <c r="ACZ396" s="128"/>
      <c r="ADA396" s="128"/>
      <c r="ADB396" s="128"/>
      <c r="ADC396" s="128"/>
      <c r="ADD396" s="128"/>
      <c r="ADE396" s="128"/>
      <c r="ADF396" s="128"/>
      <c r="ADG396" s="128"/>
      <c r="ADH396" s="128"/>
      <c r="ADI396" s="128"/>
      <c r="ADJ396" s="128"/>
      <c r="ADK396" s="128"/>
      <c r="ADL396" s="128"/>
      <c r="ADM396" s="128"/>
      <c r="ADN396" s="128"/>
      <c r="ADO396" s="128"/>
      <c r="ADP396" s="128"/>
      <c r="ADQ396" s="128"/>
      <c r="ADR396" s="128"/>
      <c r="ADS396" s="128"/>
      <c r="ADT396" s="128"/>
      <c r="ADU396" s="128"/>
      <c r="ADV396" s="128"/>
      <c r="ADW396" s="128"/>
      <c r="ADX396" s="128"/>
      <c r="ADY396" s="128"/>
      <c r="ADZ396" s="128"/>
      <c r="AEA396" s="128"/>
      <c r="AEB396" s="128"/>
      <c r="AEC396" s="128"/>
      <c r="AED396" s="128"/>
      <c r="AEE396" s="128"/>
      <c r="AEF396" s="128"/>
      <c r="AEG396" s="128"/>
      <c r="AEH396" s="128"/>
      <c r="AEI396" s="128"/>
      <c r="AEJ396" s="128"/>
      <c r="AEK396" s="128"/>
      <c r="AEL396" s="128"/>
      <c r="AEM396" s="128"/>
      <c r="AEN396" s="128"/>
      <c r="AEO396" s="128"/>
      <c r="AEP396" s="128"/>
      <c r="AEQ396" s="128"/>
      <c r="AER396" s="128"/>
      <c r="AES396" s="128"/>
      <c r="AET396" s="128"/>
      <c r="AEU396" s="128"/>
      <c r="AEV396" s="128"/>
      <c r="AEW396" s="128"/>
      <c r="AEX396" s="128"/>
      <c r="AEY396" s="128"/>
      <c r="AEZ396" s="128"/>
      <c r="AFA396" s="128"/>
      <c r="AFB396" s="128"/>
      <c r="AFC396" s="128"/>
      <c r="AFD396" s="128"/>
      <c r="AFE396" s="128"/>
      <c r="AFF396" s="128"/>
      <c r="AFG396" s="128"/>
      <c r="AFH396" s="128"/>
      <c r="AFI396" s="128"/>
      <c r="AFJ396" s="128"/>
      <c r="AFK396" s="128"/>
      <c r="AFL396" s="128"/>
      <c r="AFM396" s="128"/>
      <c r="AFN396" s="128"/>
      <c r="AFO396" s="128"/>
      <c r="AFP396" s="128"/>
      <c r="AFQ396" s="128"/>
      <c r="AFR396" s="128"/>
      <c r="AFS396" s="128"/>
      <c r="AFT396" s="128"/>
      <c r="AFU396" s="128"/>
      <c r="AFV396" s="128"/>
      <c r="AFW396" s="128"/>
      <c r="AFX396" s="128"/>
      <c r="AFY396" s="128"/>
      <c r="AFZ396" s="128"/>
      <c r="AGA396" s="128"/>
      <c r="AGB396" s="128"/>
      <c r="AGC396" s="128"/>
      <c r="AGD396" s="128"/>
      <c r="AGE396" s="128"/>
      <c r="AGF396" s="128"/>
      <c r="AGG396" s="128"/>
      <c r="AGH396" s="128"/>
      <c r="AGI396" s="128"/>
      <c r="AGJ396" s="128"/>
      <c r="AGK396" s="128"/>
      <c r="AGL396" s="128"/>
      <c r="AGM396" s="128"/>
      <c r="AGN396" s="128"/>
      <c r="AGO396" s="128"/>
      <c r="AGP396" s="128"/>
      <c r="AGQ396" s="128"/>
      <c r="AGR396" s="128"/>
      <c r="AGS396" s="128"/>
      <c r="AGT396" s="128"/>
      <c r="AGU396" s="128"/>
      <c r="AGV396" s="128"/>
      <c r="AGW396" s="128"/>
      <c r="AGX396" s="128"/>
      <c r="AGY396" s="128"/>
      <c r="AGZ396" s="128"/>
      <c r="AHA396" s="128"/>
      <c r="AHB396" s="128"/>
      <c r="AHC396" s="128"/>
      <c r="AHD396" s="128"/>
      <c r="AHE396" s="128"/>
      <c r="AHF396" s="128"/>
      <c r="AHG396" s="128"/>
      <c r="AHH396" s="128"/>
      <c r="AHI396" s="128"/>
      <c r="AHJ396" s="128"/>
      <c r="AHK396" s="128"/>
      <c r="AHL396" s="128"/>
      <c r="AHM396" s="128"/>
      <c r="AHN396" s="128"/>
      <c r="AHO396" s="128"/>
      <c r="AHP396" s="128"/>
      <c r="AHQ396" s="128"/>
      <c r="AHR396" s="128"/>
      <c r="AHS396" s="128"/>
      <c r="AHT396" s="128"/>
      <c r="AHU396" s="128"/>
      <c r="AHV396" s="128"/>
      <c r="AHW396" s="128"/>
      <c r="AHX396" s="128"/>
      <c r="AHY396" s="128"/>
      <c r="AHZ396" s="128"/>
      <c r="AIA396" s="128"/>
      <c r="AIB396" s="128"/>
      <c r="AIC396" s="128"/>
      <c r="AID396" s="128"/>
      <c r="AIE396" s="128"/>
      <c r="AIF396" s="128"/>
      <c r="AIG396" s="128"/>
      <c r="AIH396" s="128"/>
      <c r="AII396" s="128"/>
      <c r="AIJ396" s="128"/>
      <c r="AIK396" s="128"/>
      <c r="AIL396" s="128"/>
      <c r="AIM396" s="128"/>
      <c r="AIN396" s="128"/>
      <c r="AIO396" s="128"/>
      <c r="AIP396" s="128"/>
      <c r="AIQ396" s="128"/>
      <c r="AIR396" s="128"/>
      <c r="AIS396" s="128"/>
      <c r="AIT396" s="128"/>
      <c r="AIU396" s="128"/>
      <c r="AIV396" s="128"/>
      <c r="AIW396" s="128"/>
      <c r="AIX396" s="128"/>
      <c r="AIY396" s="128"/>
      <c r="AIZ396" s="128"/>
      <c r="AJA396" s="128"/>
      <c r="AJB396" s="128"/>
      <c r="AJC396" s="128"/>
      <c r="AJD396" s="128"/>
      <c r="AJE396" s="128"/>
      <c r="AJF396" s="128"/>
      <c r="AJG396" s="128"/>
      <c r="AJH396" s="128"/>
      <c r="AJI396" s="128"/>
      <c r="AJJ396" s="128"/>
      <c r="AJK396" s="128"/>
      <c r="AJL396" s="128"/>
      <c r="AJM396" s="128"/>
      <c r="AJN396" s="128"/>
      <c r="AJO396" s="128"/>
      <c r="AJP396" s="128"/>
      <c r="AJQ396" s="128"/>
      <c r="AJR396" s="128"/>
      <c r="AJS396" s="128"/>
      <c r="AJT396" s="128"/>
      <c r="AJU396" s="128"/>
      <c r="AJV396" s="128"/>
      <c r="AJW396" s="128"/>
      <c r="AJX396" s="128"/>
      <c r="AJY396" s="128"/>
      <c r="AJZ396" s="128"/>
      <c r="AKA396" s="128"/>
      <c r="AKB396" s="128"/>
      <c r="AKC396" s="128"/>
      <c r="AKD396" s="128"/>
      <c r="AKE396" s="128"/>
      <c r="AKF396" s="128"/>
      <c r="AKG396" s="128"/>
      <c r="AKH396" s="128"/>
      <c r="AKI396" s="128"/>
      <c r="AKJ396" s="128"/>
      <c r="AKK396" s="128"/>
      <c r="AKL396" s="128"/>
      <c r="AKM396" s="128"/>
      <c r="AKN396" s="128"/>
      <c r="AKO396" s="128"/>
      <c r="AKP396" s="128"/>
      <c r="AKQ396" s="128"/>
      <c r="AKR396" s="128"/>
      <c r="AKS396" s="128"/>
      <c r="AKT396" s="128"/>
      <c r="AKU396" s="128"/>
      <c r="AKV396" s="128"/>
      <c r="AKW396" s="128"/>
      <c r="AKX396" s="128"/>
      <c r="AKY396" s="128"/>
      <c r="AKZ396" s="128"/>
      <c r="ALA396" s="128"/>
      <c r="ALB396" s="128"/>
      <c r="ALC396" s="128"/>
      <c r="ALD396" s="128"/>
      <c r="ALE396" s="128"/>
      <c r="ALF396" s="128"/>
      <c r="ALG396" s="128"/>
      <c r="ALH396" s="128"/>
      <c r="ALI396" s="128"/>
      <c r="ALJ396" s="128"/>
      <c r="ALK396" s="128"/>
      <c r="ALL396" s="128"/>
      <c r="ALM396" s="128"/>
      <c r="ALN396" s="128"/>
      <c r="ALO396" s="128"/>
      <c r="ALP396" s="128"/>
      <c r="ALQ396" s="128"/>
      <c r="ALR396" s="128"/>
      <c r="ALS396" s="128"/>
      <c r="ALT396" s="128"/>
      <c r="ALU396" s="128"/>
      <c r="ALV396" s="128"/>
      <c r="ALW396" s="128"/>
      <c r="ALX396" s="128"/>
      <c r="ALY396" s="128"/>
      <c r="ALZ396" s="128"/>
      <c r="AMA396" s="128"/>
      <c r="AMB396" s="128"/>
      <c r="AMC396" s="128"/>
      <c r="AMD396" s="128"/>
      <c r="AME396" s="128"/>
      <c r="AMF396" s="128"/>
      <c r="AMG396" s="128"/>
      <c r="AMH396" s="128"/>
      <c r="AMI396" s="128"/>
      <c r="AMJ396" s="128"/>
      <c r="AMK396" s="128"/>
      <c r="AML396" s="128"/>
      <c r="AMM396" s="128"/>
      <c r="AMN396" s="128"/>
      <c r="AMO396" s="128"/>
      <c r="AMP396" s="128"/>
    </row>
    <row r="397" spans="1:1030" x14ac:dyDescent="0.2">
      <c r="A397" s="3" t="str">
        <f t="shared" si="3326"/>
        <v>calrl_human__wt</v>
      </c>
      <c r="B397" s="2" t="s">
        <v>401</v>
      </c>
      <c r="C397" s="3" t="s">
        <v>100</v>
      </c>
      <c r="D397" s="3" t="str">
        <f>IFERROR(MID(VLOOKUP($B397,Seqs!$A:$B,2,0),E397,1),"")</f>
        <v>N</v>
      </c>
      <c r="E397" s="3">
        <v>130</v>
      </c>
      <c r="F397" s="3" t="str">
        <f>IFERROR(MID(VLOOKUP($B397,Seqs!$A:$B,2,0),G397,1),"")</f>
        <v>F</v>
      </c>
      <c r="G397" s="3">
        <v>166</v>
      </c>
      <c r="H397" s="3" t="str">
        <f>IFERROR(MID(VLOOKUP($B397,Seqs!$A:$B,2,0),I397,1),"")</f>
        <v>K</v>
      </c>
      <c r="I397" s="23">
        <v>167</v>
      </c>
      <c r="J397" s="3" t="str">
        <f>IFERROR(MID(VLOOKUP($B397,Seqs!$A:$B,2,0),K397,1),"")</f>
        <v>S</v>
      </c>
      <c r="K397" s="23">
        <v>170</v>
      </c>
      <c r="L397" s="3" t="str">
        <f>IFERROR(MID(VLOOKUP($B397,Seqs!$A:$B,2,0),M397,1),"")</f>
        <v>C</v>
      </c>
      <c r="M397" s="3">
        <v>171</v>
      </c>
      <c r="N397" s="3" t="str">
        <f>IFERROR(MID(VLOOKUP($B397,Seqs!$A:$B,2,0),O397,1),"")</f>
        <v>V</v>
      </c>
      <c r="O397" s="3">
        <v>198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V</v>
      </c>
      <c r="U397" s="3">
        <v>210</v>
      </c>
      <c r="V397" s="3" t="str">
        <f>IFERROR(MID(VLOOKUP($B397,Seqs!$A:$B,2,0),W397,1),"")</f>
        <v>V</v>
      </c>
      <c r="W397" s="3">
        <v>243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H</v>
      </c>
      <c r="AC397" s="3">
        <v>251</v>
      </c>
      <c r="AD397" s="3" t="str">
        <f>IFERROR(MID(VLOOKUP($B397,Seqs!$A:$B,2,0),AE397,1),"")</f>
        <v>Y</v>
      </c>
      <c r="AE397" s="3">
        <v>277</v>
      </c>
      <c r="AF397" s="3" t="str">
        <f>IFERROR(MID(VLOOKUP($B397,Seqs!$A:$B,2,0),AG397,1),"")</f>
        <v>C</v>
      </c>
      <c r="AG397" s="3">
        <v>282</v>
      </c>
      <c r="AH397" s="3" t="str">
        <f>IFERROR(MID(VLOOKUP($B397,Seqs!$A:$B,2,0),AI397,1),"")</f>
        <v>I</v>
      </c>
      <c r="AI397" s="3">
        <v>284</v>
      </c>
      <c r="AJ397" s="3" t="str">
        <f>IFERROR(MID(VLOOKUP($B397,Seqs!$A:$B,2,0),AK397,1),"")</f>
        <v>L</v>
      </c>
      <c r="AK397" s="3">
        <v>290</v>
      </c>
      <c r="AL397" s="3" t="str">
        <f>IFERROR(MID(VLOOKUP($B397,Seqs!$A:$B,2,0),AM397,1),"")</f>
        <v>K</v>
      </c>
      <c r="AM397" s="3">
        <v>321</v>
      </c>
      <c r="AN397" s="3" t="str">
        <f>IFERROR(MID(VLOOKUP($B397,Seqs!$A:$B,2,0),AO397,1),"")</f>
        <v>Y</v>
      </c>
      <c r="AO397" s="3">
        <v>331</v>
      </c>
      <c r="AP397" s="3" t="str">
        <f>IFERROR(MID(VLOOKUP($B397,Seqs!$A:$B,2,0),AQ397,1),"")</f>
        <v>W</v>
      </c>
      <c r="AQ397" s="3">
        <v>354</v>
      </c>
      <c r="AR397" s="3" t="str">
        <f>IFERROR(MID(VLOOKUP($B397,Seqs!$A:$B,2,0),AS397,1),"")</f>
        <v>K</v>
      </c>
      <c r="AS397" s="3">
        <v>359</v>
      </c>
      <c r="AT397" s="3" t="str">
        <f>IFERROR(MID(VLOOKUP($B397,Seqs!$A:$B,2,0),AU397,1),"")</f>
        <v>F</v>
      </c>
      <c r="AU397" s="3">
        <v>387</v>
      </c>
      <c r="AV397" s="3" t="str">
        <f>IFERROR(MID(VLOOKUP($B397,Seqs!$A:$B,2,0),AW397,1),"")</f>
        <v>N</v>
      </c>
      <c r="AW397" s="3">
        <v>388</v>
      </c>
      <c r="AX397" s="3" t="str">
        <f>IFERROR(MID(VLOOKUP($B397,Seqs!$A:$B,2,0),AY397,1),"")</f>
        <v>S</v>
      </c>
      <c r="AY397" s="3">
        <v>413</v>
      </c>
      <c r="AZ397" s="77" t="str">
        <f>VLOOKUP(B397,Classification!A:D,2,0)</f>
        <v>B1</v>
      </c>
      <c r="BA397" s="94" t="str">
        <f>VLOOKUP(B397,Classification!A:D,4,0)</f>
        <v>Calcitonin</v>
      </c>
      <c r="BB397" s="27" t="b">
        <f t="shared" ref="BB397" si="3411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412">_xlfn.AGGREGATE(9,6,CH397:CS397)-_xlfn.AGGREGATE(9,6,BV397:CG397)+12</f>
        <v>246</v>
      </c>
      <c r="BD397" s="4" t="s">
        <v>23</v>
      </c>
      <c r="BE397" s="3" t="s">
        <v>23</v>
      </c>
      <c r="BF397" s="118" t="s">
        <v>23</v>
      </c>
      <c r="BG397" s="49" t="s">
        <v>1371</v>
      </c>
      <c r="BH397" s="49" t="s">
        <v>1371</v>
      </c>
      <c r="BI397" s="1"/>
      <c r="BJ397" s="70" t="s">
        <v>1281</v>
      </c>
      <c r="BK397" s="57" t="s">
        <v>1281</v>
      </c>
      <c r="BL397" s="57" t="s">
        <v>1281</v>
      </c>
      <c r="BM397" s="57" t="s">
        <v>1281</v>
      </c>
      <c r="BN397" s="57" t="s">
        <v>1281</v>
      </c>
      <c r="BO397" s="57" t="s">
        <v>1281</v>
      </c>
      <c r="BP397" s="57" t="s">
        <v>1281</v>
      </c>
      <c r="BQ397" s="57" t="s">
        <v>1281</v>
      </c>
      <c r="BR397" s="57" t="s">
        <v>1281</v>
      </c>
      <c r="BS397" s="57" t="s">
        <v>1281</v>
      </c>
      <c r="BT397" s="57" t="s">
        <v>1281</v>
      </c>
      <c r="BU397" s="57" t="s">
        <v>1281</v>
      </c>
      <c r="BV397" s="70">
        <f t="shared" ref="BV397" si="3413">E397</f>
        <v>130</v>
      </c>
      <c r="BW397" s="71">
        <f t="shared" ref="BW397" si="3414">I397</f>
        <v>167</v>
      </c>
      <c r="BX397" s="72">
        <f t="shared" ref="BX397" si="3415">M397</f>
        <v>171</v>
      </c>
      <c r="BY397" s="71" t="str">
        <f t="shared" ref="BY397" si="3416">Q397</f>
        <v>-</v>
      </c>
      <c r="BZ397" s="72">
        <f t="shared" ref="BZ397" si="3417">U397</f>
        <v>210</v>
      </c>
      <c r="CA397" s="71" t="str">
        <f t="shared" ref="CA397" si="3418">Y397</f>
        <v>-</v>
      </c>
      <c r="CB397" s="72">
        <f t="shared" ref="CB397" si="3419">AC397</f>
        <v>251</v>
      </c>
      <c r="CC397" s="71">
        <f t="shared" ref="CC397" si="3420">AG397</f>
        <v>282</v>
      </c>
      <c r="CD397" s="72">
        <f t="shared" ref="CD397" si="3421">AK397</f>
        <v>290</v>
      </c>
      <c r="CE397" s="71">
        <f t="shared" ref="CE397" si="3422">AO397</f>
        <v>331</v>
      </c>
      <c r="CF397" s="72">
        <f t="shared" ref="CF397" si="3423">AS397</f>
        <v>359</v>
      </c>
      <c r="CG397" s="71">
        <f t="shared" ref="CG397" si="3424">AW397</f>
        <v>388</v>
      </c>
      <c r="CH397" s="70">
        <f t="shared" ref="CH397" si="3425">G397</f>
        <v>166</v>
      </c>
      <c r="CI397" s="71">
        <f t="shared" ref="CI397" si="3426">K397</f>
        <v>170</v>
      </c>
      <c r="CJ397" s="72">
        <f t="shared" ref="CJ397" si="3427">O397</f>
        <v>198</v>
      </c>
      <c r="CK397" s="72" t="str">
        <f t="shared" ref="CK397" si="3428">S397</f>
        <v>-</v>
      </c>
      <c r="CL397" s="72">
        <f t="shared" ref="CL397" si="3429">W397</f>
        <v>243</v>
      </c>
      <c r="CM397" s="72" t="str">
        <f t="shared" ref="CM397" si="3430">AA397</f>
        <v>-</v>
      </c>
      <c r="CN397" s="72">
        <f t="shared" ref="CN397" si="3431">AE397</f>
        <v>277</v>
      </c>
      <c r="CO397" s="72">
        <f t="shared" ref="CO397" si="3432">AI397</f>
        <v>284</v>
      </c>
      <c r="CP397" s="72">
        <f t="shared" ref="CP397" si="3433">AM397</f>
        <v>321</v>
      </c>
      <c r="CQ397" s="72">
        <f t="shared" ref="CQ397" si="3434">AQ397</f>
        <v>354</v>
      </c>
      <c r="CR397" s="72">
        <f t="shared" ref="CR397" si="3435">AU397</f>
        <v>387</v>
      </c>
      <c r="CS397" s="72">
        <f t="shared" ref="CS397" si="3436">AY397</f>
        <v>413</v>
      </c>
      <c r="CT397" s="23">
        <f t="shared" ref="CT397" si="3437">M397-K397</f>
        <v>1</v>
      </c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6"/>
      <c r="ACQ397" s="6"/>
      <c r="ACR397" s="6"/>
      <c r="ACS397" s="6"/>
      <c r="ACT397" s="6"/>
      <c r="ACU397" s="6"/>
      <c r="ACV397" s="6"/>
      <c r="ACW397" s="6"/>
      <c r="ACX397" s="6"/>
      <c r="ACY397" s="6"/>
      <c r="ACZ397" s="6"/>
      <c r="ADA397" s="6"/>
      <c r="ADB397" s="6"/>
      <c r="ADC397" s="6"/>
      <c r="ADD397" s="6"/>
      <c r="ADE397" s="6"/>
      <c r="ADF397" s="6"/>
      <c r="ADG397" s="6"/>
      <c r="ADH397" s="6"/>
      <c r="ADI397" s="6"/>
      <c r="ADJ397" s="6"/>
      <c r="ADK397" s="6"/>
      <c r="ADL397" s="6"/>
      <c r="ADM397" s="6"/>
      <c r="ADN397" s="6"/>
      <c r="ADO397" s="6"/>
      <c r="ADP397" s="6"/>
      <c r="ADQ397" s="6"/>
      <c r="ADR397" s="6"/>
      <c r="ADS397" s="6"/>
      <c r="ADT397" s="6"/>
      <c r="ADU397" s="6"/>
      <c r="ADV397" s="6"/>
      <c r="ADW397" s="6"/>
      <c r="ADX397" s="6"/>
      <c r="ADY397" s="6"/>
      <c r="ADZ397" s="6"/>
      <c r="AEA397" s="6"/>
      <c r="AEB397" s="6"/>
      <c r="AEC397" s="6"/>
      <c r="AED397" s="6"/>
      <c r="AEE397" s="6"/>
      <c r="AEF397" s="6"/>
      <c r="AEG397" s="6"/>
      <c r="AEH397" s="6"/>
      <c r="AEI397" s="6"/>
      <c r="AEJ397" s="6"/>
      <c r="AEK397" s="6"/>
      <c r="AEL397" s="6"/>
      <c r="AEM397" s="6"/>
      <c r="AEN397" s="6"/>
      <c r="AEO397" s="6"/>
      <c r="AEP397" s="6"/>
      <c r="AEQ397" s="6"/>
      <c r="AER397" s="6"/>
      <c r="AES397" s="6"/>
      <c r="AET397" s="6"/>
      <c r="AEU397" s="6"/>
      <c r="AEV397" s="6"/>
      <c r="AEW397" s="6"/>
      <c r="AEX397" s="6"/>
      <c r="AEY397" s="6"/>
      <c r="AEZ397" s="6"/>
      <c r="AFA397" s="6"/>
      <c r="AFB397" s="6"/>
      <c r="AFC397" s="6"/>
      <c r="AFD397" s="6"/>
      <c r="AFE397" s="6"/>
      <c r="AFF397" s="6"/>
      <c r="AFG397" s="6"/>
      <c r="AFH397" s="6"/>
      <c r="AFI397" s="6"/>
      <c r="AFJ397" s="6"/>
      <c r="AFK397" s="6"/>
      <c r="AFL397" s="6"/>
      <c r="AFM397" s="6"/>
      <c r="AFN397" s="6"/>
      <c r="AFO397" s="6"/>
      <c r="AFP397" s="6"/>
      <c r="AFQ397" s="6"/>
      <c r="AFR397" s="6"/>
      <c r="AFS397" s="6"/>
      <c r="AFT397" s="6"/>
      <c r="AFU397" s="6"/>
      <c r="AFV397" s="6"/>
      <c r="AFW397" s="6"/>
      <c r="AFX397" s="6"/>
      <c r="AFY397" s="6"/>
      <c r="AFZ397" s="6"/>
      <c r="AGA397" s="6"/>
      <c r="AGB397" s="6"/>
      <c r="AGC397" s="6"/>
      <c r="AGD397" s="6"/>
      <c r="AGE397" s="6"/>
      <c r="AGF397" s="6"/>
      <c r="AGG397" s="6"/>
      <c r="AGH397" s="6"/>
      <c r="AGI397" s="6"/>
      <c r="AGJ397" s="6"/>
      <c r="AGK397" s="6"/>
      <c r="AGL397" s="6"/>
      <c r="AGM397" s="6"/>
      <c r="AGN397" s="6"/>
      <c r="AGO397" s="6"/>
      <c r="AGP397" s="6"/>
      <c r="AGQ397" s="6"/>
      <c r="AGR397" s="6"/>
      <c r="AGS397" s="6"/>
      <c r="AGT397" s="6"/>
      <c r="AGU397" s="6"/>
      <c r="AGV397" s="6"/>
      <c r="AGW397" s="6"/>
      <c r="AGX397" s="6"/>
      <c r="AGY397" s="6"/>
      <c r="AGZ397" s="6"/>
      <c r="AHA397" s="6"/>
      <c r="AHB397" s="6"/>
      <c r="AHC397" s="6"/>
      <c r="AHD397" s="6"/>
      <c r="AHE397" s="6"/>
      <c r="AHF397" s="6"/>
      <c r="AHG397" s="6"/>
      <c r="AHH397" s="6"/>
      <c r="AHI397" s="6"/>
      <c r="AHJ397" s="6"/>
      <c r="AHK397" s="6"/>
      <c r="AHL397" s="6"/>
      <c r="AHM397" s="6"/>
      <c r="AHN397" s="6"/>
      <c r="AHO397" s="6"/>
      <c r="AHP397" s="6"/>
      <c r="AHQ397" s="6"/>
      <c r="AHR397" s="6"/>
      <c r="AHS397" s="6"/>
      <c r="AHT397" s="6"/>
      <c r="AHU397" s="6"/>
      <c r="AHV397" s="6"/>
      <c r="AHW397" s="6"/>
      <c r="AHX397" s="6"/>
      <c r="AHY397" s="6"/>
      <c r="AHZ397" s="6"/>
      <c r="AIA397" s="6"/>
      <c r="AIB397" s="6"/>
      <c r="AIC397" s="6"/>
      <c r="AID397" s="6"/>
      <c r="AIE397" s="6"/>
      <c r="AIF397" s="6"/>
      <c r="AIG397" s="6"/>
      <c r="AIH397" s="6"/>
      <c r="AII397" s="6"/>
      <c r="AIJ397" s="6"/>
      <c r="AIK397" s="6"/>
      <c r="AIL397" s="6"/>
      <c r="AIM397" s="6"/>
      <c r="AIN397" s="6"/>
      <c r="AIO397" s="6"/>
      <c r="AIP397" s="6"/>
      <c r="AIQ397" s="6"/>
      <c r="AIR397" s="6"/>
      <c r="AIS397" s="6"/>
      <c r="AIT397" s="6"/>
      <c r="AIU397" s="6"/>
      <c r="AIV397" s="6"/>
      <c r="AIW397" s="6"/>
      <c r="AIX397" s="6"/>
      <c r="AIY397" s="6"/>
      <c r="AIZ397" s="6"/>
      <c r="AJA397" s="6"/>
      <c r="AJB397" s="6"/>
      <c r="AJC397" s="6"/>
      <c r="AJD397" s="6"/>
      <c r="AJE397" s="6"/>
      <c r="AJF397" s="6"/>
      <c r="AJG397" s="6"/>
      <c r="AJH397" s="6"/>
      <c r="AJI397" s="6"/>
      <c r="AJJ397" s="6"/>
      <c r="AJK397" s="6"/>
      <c r="AJL397" s="6"/>
      <c r="AJM397" s="6"/>
      <c r="AJN397" s="6"/>
      <c r="AJO397" s="6"/>
      <c r="AJP397" s="6"/>
      <c r="AJQ397" s="6"/>
      <c r="AJR397" s="6"/>
      <c r="AJS397" s="6"/>
      <c r="AJT397" s="6"/>
      <c r="AJU397" s="6"/>
      <c r="AJV397" s="6"/>
      <c r="AJW397" s="6"/>
      <c r="AJX397" s="6"/>
      <c r="AJY397" s="6"/>
      <c r="AJZ397" s="6"/>
      <c r="AKA397" s="6"/>
      <c r="AKB397" s="6"/>
      <c r="AKC397" s="6"/>
      <c r="AKD397" s="6"/>
      <c r="AKE397" s="6"/>
      <c r="AKF397" s="6"/>
      <c r="AKG397" s="6"/>
      <c r="AKH397" s="6"/>
      <c r="AKI397" s="6"/>
      <c r="AKJ397" s="6"/>
      <c r="AKK397" s="6"/>
      <c r="AKL397" s="6"/>
      <c r="AKM397" s="6"/>
      <c r="AKN397" s="6"/>
      <c r="AKO397" s="6"/>
      <c r="AKP397" s="6"/>
      <c r="AKQ397" s="6"/>
      <c r="AKR397" s="6"/>
      <c r="AKS397" s="6"/>
      <c r="AKT397" s="6"/>
      <c r="AKU397" s="6"/>
      <c r="AKV397" s="6"/>
      <c r="AKW397" s="6"/>
      <c r="AKX397" s="6"/>
      <c r="AKY397" s="6"/>
      <c r="AKZ397" s="6"/>
      <c r="ALA397" s="6"/>
      <c r="ALB397" s="6"/>
      <c r="ALC397" s="6"/>
      <c r="ALD397" s="6"/>
      <c r="ALE397" s="6"/>
      <c r="ALF397" s="6"/>
      <c r="ALG397" s="6"/>
      <c r="ALH397" s="6"/>
      <c r="ALI397" s="6"/>
      <c r="ALJ397" s="6"/>
      <c r="ALK397" s="6"/>
      <c r="ALL397" s="6"/>
      <c r="ALM397" s="6"/>
      <c r="ALN397" s="6"/>
      <c r="ALO397" s="6"/>
      <c r="ALP397" s="6"/>
      <c r="ALQ397" s="6"/>
      <c r="ALR397" s="6"/>
      <c r="ALS397" s="6"/>
      <c r="ALT397" s="6"/>
      <c r="ALU397" s="6"/>
      <c r="ALV397" s="6"/>
      <c r="ALW397" s="6"/>
      <c r="ALX397" s="6"/>
      <c r="ALY397" s="6"/>
      <c r="ALZ397" s="6"/>
      <c r="AMA397" s="6"/>
      <c r="AMB397" s="6"/>
      <c r="AMC397" s="6"/>
      <c r="AMD397" s="6"/>
      <c r="AME397" s="6"/>
      <c r="AMF397" s="6"/>
      <c r="AMG397" s="6"/>
      <c r="AMH397" s="6"/>
      <c r="AMI397" s="6"/>
      <c r="AMJ397" s="6"/>
      <c r="AMK397" s="6"/>
      <c r="AML397" s="6"/>
      <c r="AMM397" s="6"/>
      <c r="AMN397" s="6"/>
      <c r="AMO397" s="6"/>
      <c r="AMP397" s="6"/>
    </row>
    <row r="398" spans="1:1030" x14ac:dyDescent="0.2">
      <c r="A398" s="3" t="str">
        <f t="shared" si="3326"/>
        <v>calrl_human_6E3Y</v>
      </c>
      <c r="B398" s="2" t="s">
        <v>401</v>
      </c>
      <c r="C398" s="3" t="s">
        <v>1510</v>
      </c>
      <c r="D398" s="3" t="str">
        <f>IFERROR(MID(VLOOKUP($B398,Seqs!$A:$B,2,0),E398,1),"")</f>
        <v>N</v>
      </c>
      <c r="E398" s="3">
        <v>130</v>
      </c>
      <c r="F398" s="3" t="str">
        <f>IFERROR(MID(VLOOKUP($B398,Seqs!$A:$B,2,0),G398,1),"")</f>
        <v>F</v>
      </c>
      <c r="G398" s="3">
        <v>166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C</v>
      </c>
      <c r="M398" s="3">
        <v>171</v>
      </c>
      <c r="N398" s="3" t="str">
        <f>IFERROR(MID(VLOOKUP($B398,Seqs!$A:$B,2,0),O398,1),"")</f>
        <v>V</v>
      </c>
      <c r="O398" s="3">
        <v>198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V</v>
      </c>
      <c r="U398" s="3">
        <v>210</v>
      </c>
      <c r="V398" s="3" t="str">
        <f>IFERROR(MID(VLOOKUP($B398,Seqs!$A:$B,2,0),W398,1),"")</f>
        <v>V</v>
      </c>
      <c r="W398" s="3">
        <v>242</v>
      </c>
      <c r="X398" s="3" t="str">
        <f>IFERROR(MID(VLOOKUP($B398,Seqs!$A:$B,2,0),Y398,1),"")</f>
        <v/>
      </c>
      <c r="Y398" s="3" t="s">
        <v>23</v>
      </c>
      <c r="Z398" s="3" t="str">
        <f>IFERROR(MID(VLOOKUP($B398,Seqs!$A:$B,2,0),AA398,1),"")</f>
        <v/>
      </c>
      <c r="AA398" s="3" t="s">
        <v>23</v>
      </c>
      <c r="AB398" s="3" t="str">
        <f>IFERROR(MID(VLOOKUP($B398,Seqs!$A:$B,2,0),AC398,1),"")</f>
        <v>M</v>
      </c>
      <c r="AC398" s="3">
        <v>253</v>
      </c>
      <c r="AD398" s="3" t="str">
        <f>IFERROR(MID(VLOOKUP($B398,Seqs!$A:$B,2,0),AE398,1),"")</f>
        <v>Y</v>
      </c>
      <c r="AE398" s="3">
        <v>277</v>
      </c>
      <c r="AF398" s="3" t="str">
        <f>IFERROR(MID(VLOOKUP($B398,Seqs!$A:$B,2,0),AG398,1),"")</f>
        <v>C</v>
      </c>
      <c r="AG398" s="3">
        <v>282</v>
      </c>
      <c r="AH398" s="3" t="str">
        <f>IFERROR(MID(VLOOKUP($B398,Seqs!$A:$B,2,0),AI398,1),"")</f>
        <v>I</v>
      </c>
      <c r="AI398" s="3">
        <v>284</v>
      </c>
      <c r="AJ398" s="3" t="str">
        <f>IFERROR(MID(VLOOKUP($B398,Seqs!$A:$B,2,0),AK398,1),"")</f>
        <v>L</v>
      </c>
      <c r="AK398" s="3">
        <v>290</v>
      </c>
      <c r="AL398" s="3" t="str">
        <f>IFERROR(MID(VLOOKUP($B398,Seqs!$A:$B,2,0),AM398,1),"")</f>
        <v>K</v>
      </c>
      <c r="AM398" s="3">
        <v>321</v>
      </c>
      <c r="AN398" s="3" t="str">
        <f>IFERROR(MID(VLOOKUP($B398,Seqs!$A:$B,2,0),AO398,1),"")</f>
        <v>N</v>
      </c>
      <c r="AO398" s="3">
        <v>329</v>
      </c>
      <c r="AP398" s="3" t="str">
        <f>IFERROR(MID(VLOOKUP($B398,Seqs!$A:$B,2,0),AQ398,1),"")</f>
        <v>L</v>
      </c>
      <c r="AQ398" s="3">
        <v>351</v>
      </c>
      <c r="AR398" s="3" t="str">
        <f>IFERROR(MID(VLOOKUP($B398,Seqs!$A:$B,2,0),AS398,1),"")</f>
        <v>V</v>
      </c>
      <c r="AS398" s="3">
        <v>364</v>
      </c>
      <c r="AT398" s="3" t="str">
        <f>IFERROR(MID(VLOOKUP($B398,Seqs!$A:$B,2,0),AU398,1),"")</f>
        <v>F</v>
      </c>
      <c r="AU398" s="3">
        <v>387</v>
      </c>
      <c r="AV398" s="3" t="str">
        <f>IFERROR(MID(VLOOKUP($B398,Seqs!$A:$B,2,0),AW398,1),"")</f>
        <v>N</v>
      </c>
      <c r="AW398" s="3">
        <v>388</v>
      </c>
      <c r="AX398" s="3" t="str">
        <f>IFERROR(MID(VLOOKUP($B398,Seqs!$A:$B,2,0),AY398,1),"")</f>
        <v>W</v>
      </c>
      <c r="AY398" s="3">
        <v>399</v>
      </c>
      <c r="AZ398" s="77" t="str">
        <f>VLOOKUP(B398,Classification!A:D,2,0)</f>
        <v>B1</v>
      </c>
      <c r="BA398" s="94" t="str">
        <f>VLOOKUP(B398,Classification!A:D,4,0)</f>
        <v>Calcitonin</v>
      </c>
      <c r="BB398" s="27" t="b">
        <f t="shared" ref="BB398" si="3438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3439">_xlfn.AGGREGATE(9,6,CH398:CS398)-_xlfn.AGGREGATE(9,6,BV398:CG398)+12</f>
        <v>220</v>
      </c>
      <c r="BD398" s="4" t="s">
        <v>23</v>
      </c>
      <c r="BE398" s="3" t="s">
        <v>1285</v>
      </c>
      <c r="BF398" s="118">
        <v>3.3</v>
      </c>
      <c r="BG398" s="49" t="s">
        <v>1416</v>
      </c>
      <c r="BH398" s="49" t="s">
        <v>1416</v>
      </c>
      <c r="BI398" s="1"/>
      <c r="BJ398" s="70" t="s">
        <v>1281</v>
      </c>
      <c r="BK398" s="57" t="s">
        <v>1281</v>
      </c>
      <c r="BL398" s="57" t="s">
        <v>1281</v>
      </c>
      <c r="BM398" s="57" t="s">
        <v>1281</v>
      </c>
      <c r="BN398" s="57" t="s">
        <v>1281</v>
      </c>
      <c r="BO398" s="57" t="s">
        <v>1281</v>
      </c>
      <c r="BP398" s="57" t="s">
        <v>1281</v>
      </c>
      <c r="BQ398" s="57" t="s">
        <v>1281</v>
      </c>
      <c r="BR398" s="57" t="s">
        <v>1281</v>
      </c>
      <c r="BS398" s="57" t="s">
        <v>1281</v>
      </c>
      <c r="BT398" s="57" t="s">
        <v>1281</v>
      </c>
      <c r="BU398" s="57" t="s">
        <v>1281</v>
      </c>
      <c r="BV398" s="70">
        <f t="shared" ref="BV398" si="3440">E398</f>
        <v>130</v>
      </c>
      <c r="BW398" s="71" t="str">
        <f t="shared" ref="BW398" si="3441">I398</f>
        <v>-</v>
      </c>
      <c r="BX398" s="72">
        <f t="shared" ref="BX398" si="3442">M398</f>
        <v>171</v>
      </c>
      <c r="BY398" s="71" t="str">
        <f t="shared" ref="BY398" si="3443">Q398</f>
        <v>-</v>
      </c>
      <c r="BZ398" s="72">
        <f t="shared" ref="BZ398" si="3444">U398</f>
        <v>210</v>
      </c>
      <c r="CA398" s="71" t="str">
        <f t="shared" ref="CA398" si="3445">Y398</f>
        <v>-</v>
      </c>
      <c r="CB398" s="72">
        <f t="shared" ref="CB398" si="3446">AC398</f>
        <v>253</v>
      </c>
      <c r="CC398" s="71">
        <f t="shared" ref="CC398" si="3447">AG398</f>
        <v>282</v>
      </c>
      <c r="CD398" s="72">
        <f t="shared" ref="CD398" si="3448">AK398</f>
        <v>290</v>
      </c>
      <c r="CE398" s="71">
        <f t="shared" ref="CE398" si="3449">AO398</f>
        <v>329</v>
      </c>
      <c r="CF398" s="72">
        <f t="shared" ref="CF398" si="3450">AS398</f>
        <v>364</v>
      </c>
      <c r="CG398" s="71">
        <f t="shared" ref="CG398" si="3451">AW398</f>
        <v>388</v>
      </c>
      <c r="CH398" s="70">
        <f t="shared" ref="CH398" si="3452">G398</f>
        <v>166</v>
      </c>
      <c r="CI398" s="71" t="str">
        <f t="shared" ref="CI398" si="3453">K398</f>
        <v>-</v>
      </c>
      <c r="CJ398" s="72">
        <f t="shared" ref="CJ398" si="3454">O398</f>
        <v>198</v>
      </c>
      <c r="CK398" s="72" t="str">
        <f t="shared" ref="CK398" si="3455">S398</f>
        <v>-</v>
      </c>
      <c r="CL398" s="72">
        <f t="shared" ref="CL398" si="3456">W398</f>
        <v>242</v>
      </c>
      <c r="CM398" s="72" t="str">
        <f t="shared" ref="CM398" si="3457">AA398</f>
        <v>-</v>
      </c>
      <c r="CN398" s="72">
        <f t="shared" ref="CN398" si="3458">AE398</f>
        <v>277</v>
      </c>
      <c r="CO398" s="72">
        <f t="shared" ref="CO398" si="3459">AI398</f>
        <v>284</v>
      </c>
      <c r="CP398" s="72">
        <f t="shared" ref="CP398" si="3460">AM398</f>
        <v>321</v>
      </c>
      <c r="CQ398" s="72">
        <f t="shared" ref="CQ398" si="3461">AQ398</f>
        <v>351</v>
      </c>
      <c r="CR398" s="72">
        <f t="shared" ref="CR398" si="3462">AU398</f>
        <v>387</v>
      </c>
      <c r="CS398" s="72">
        <f t="shared" ref="CS398" si="3463">AY398</f>
        <v>399</v>
      </c>
      <c r="CT398" s="23" t="e">
        <f t="shared" ref="CT398" si="3464">M398-K398</f>
        <v>#VALUE!</v>
      </c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6"/>
      <c r="ACQ398" s="6"/>
      <c r="ACR398" s="6"/>
      <c r="ACS398" s="6"/>
      <c r="ACT398" s="6"/>
      <c r="ACU398" s="6"/>
      <c r="ACV398" s="6"/>
      <c r="ACW398" s="6"/>
      <c r="ACX398" s="6"/>
      <c r="ACY398" s="6"/>
      <c r="ACZ398" s="6"/>
      <c r="ADA398" s="6"/>
      <c r="ADB398" s="6"/>
      <c r="ADC398" s="6"/>
      <c r="ADD398" s="6"/>
      <c r="ADE398" s="6"/>
      <c r="ADF398" s="6"/>
      <c r="ADG398" s="6"/>
      <c r="ADH398" s="6"/>
      <c r="ADI398" s="6"/>
      <c r="ADJ398" s="6"/>
      <c r="ADK398" s="6"/>
      <c r="ADL398" s="6"/>
      <c r="ADM398" s="6"/>
      <c r="ADN398" s="6"/>
      <c r="ADO398" s="6"/>
      <c r="ADP398" s="6"/>
      <c r="ADQ398" s="6"/>
      <c r="ADR398" s="6"/>
      <c r="ADS398" s="6"/>
      <c r="ADT398" s="6"/>
      <c r="ADU398" s="6"/>
      <c r="ADV398" s="6"/>
      <c r="ADW398" s="6"/>
      <c r="ADX398" s="6"/>
      <c r="ADY398" s="6"/>
      <c r="ADZ398" s="6"/>
      <c r="AEA398" s="6"/>
      <c r="AEB398" s="6"/>
      <c r="AEC398" s="6"/>
      <c r="AED398" s="6"/>
      <c r="AEE398" s="6"/>
      <c r="AEF398" s="6"/>
      <c r="AEG398" s="6"/>
      <c r="AEH398" s="6"/>
      <c r="AEI398" s="6"/>
      <c r="AEJ398" s="6"/>
      <c r="AEK398" s="6"/>
      <c r="AEL398" s="6"/>
      <c r="AEM398" s="6"/>
      <c r="AEN398" s="6"/>
      <c r="AEO398" s="6"/>
      <c r="AEP398" s="6"/>
      <c r="AEQ398" s="6"/>
      <c r="AER398" s="6"/>
      <c r="AES398" s="6"/>
      <c r="AET398" s="6"/>
      <c r="AEU398" s="6"/>
      <c r="AEV398" s="6"/>
      <c r="AEW398" s="6"/>
      <c r="AEX398" s="6"/>
      <c r="AEY398" s="6"/>
      <c r="AEZ398" s="6"/>
      <c r="AFA398" s="6"/>
      <c r="AFB398" s="6"/>
      <c r="AFC398" s="6"/>
      <c r="AFD398" s="6"/>
      <c r="AFE398" s="6"/>
      <c r="AFF398" s="6"/>
      <c r="AFG398" s="6"/>
      <c r="AFH398" s="6"/>
      <c r="AFI398" s="6"/>
      <c r="AFJ398" s="6"/>
      <c r="AFK398" s="6"/>
      <c r="AFL398" s="6"/>
      <c r="AFM398" s="6"/>
      <c r="AFN398" s="6"/>
      <c r="AFO398" s="6"/>
      <c r="AFP398" s="6"/>
      <c r="AFQ398" s="6"/>
      <c r="AFR398" s="6"/>
      <c r="AFS398" s="6"/>
      <c r="AFT398" s="6"/>
      <c r="AFU398" s="6"/>
      <c r="AFV398" s="6"/>
      <c r="AFW398" s="6"/>
      <c r="AFX398" s="6"/>
      <c r="AFY398" s="6"/>
      <c r="AFZ398" s="6"/>
      <c r="AGA398" s="6"/>
      <c r="AGB398" s="6"/>
      <c r="AGC398" s="6"/>
      <c r="AGD398" s="6"/>
      <c r="AGE398" s="6"/>
      <c r="AGF398" s="6"/>
      <c r="AGG398" s="6"/>
      <c r="AGH398" s="6"/>
      <c r="AGI398" s="6"/>
      <c r="AGJ398" s="6"/>
      <c r="AGK398" s="6"/>
      <c r="AGL398" s="6"/>
      <c r="AGM398" s="6"/>
      <c r="AGN398" s="6"/>
      <c r="AGO398" s="6"/>
      <c r="AGP398" s="6"/>
      <c r="AGQ398" s="6"/>
      <c r="AGR398" s="6"/>
      <c r="AGS398" s="6"/>
      <c r="AGT398" s="6"/>
      <c r="AGU398" s="6"/>
      <c r="AGV398" s="6"/>
      <c r="AGW398" s="6"/>
      <c r="AGX398" s="6"/>
      <c r="AGY398" s="6"/>
      <c r="AGZ398" s="6"/>
      <c r="AHA398" s="6"/>
      <c r="AHB398" s="6"/>
      <c r="AHC398" s="6"/>
      <c r="AHD398" s="6"/>
      <c r="AHE398" s="6"/>
      <c r="AHF398" s="6"/>
      <c r="AHG398" s="6"/>
      <c r="AHH398" s="6"/>
      <c r="AHI398" s="6"/>
      <c r="AHJ398" s="6"/>
      <c r="AHK398" s="6"/>
      <c r="AHL398" s="6"/>
      <c r="AHM398" s="6"/>
      <c r="AHN398" s="6"/>
      <c r="AHO398" s="6"/>
      <c r="AHP398" s="6"/>
      <c r="AHQ398" s="6"/>
      <c r="AHR398" s="6"/>
      <c r="AHS398" s="6"/>
      <c r="AHT398" s="6"/>
      <c r="AHU398" s="6"/>
      <c r="AHV398" s="6"/>
      <c r="AHW398" s="6"/>
      <c r="AHX398" s="6"/>
      <c r="AHY398" s="6"/>
      <c r="AHZ398" s="6"/>
      <c r="AIA398" s="6"/>
      <c r="AIB398" s="6"/>
      <c r="AIC398" s="6"/>
      <c r="AID398" s="6"/>
      <c r="AIE398" s="6"/>
      <c r="AIF398" s="6"/>
      <c r="AIG398" s="6"/>
      <c r="AIH398" s="6"/>
      <c r="AII398" s="6"/>
      <c r="AIJ398" s="6"/>
      <c r="AIK398" s="6"/>
      <c r="AIL398" s="6"/>
      <c r="AIM398" s="6"/>
      <c r="AIN398" s="6"/>
      <c r="AIO398" s="6"/>
      <c r="AIP398" s="6"/>
      <c r="AIQ398" s="6"/>
      <c r="AIR398" s="6"/>
      <c r="AIS398" s="6"/>
      <c r="AIT398" s="6"/>
      <c r="AIU398" s="6"/>
      <c r="AIV398" s="6"/>
      <c r="AIW398" s="6"/>
      <c r="AIX398" s="6"/>
      <c r="AIY398" s="6"/>
      <c r="AIZ398" s="6"/>
      <c r="AJA398" s="6"/>
      <c r="AJB398" s="6"/>
      <c r="AJC398" s="6"/>
      <c r="AJD398" s="6"/>
      <c r="AJE398" s="6"/>
      <c r="AJF398" s="6"/>
      <c r="AJG398" s="6"/>
      <c r="AJH398" s="6"/>
      <c r="AJI398" s="6"/>
      <c r="AJJ398" s="6"/>
      <c r="AJK398" s="6"/>
      <c r="AJL398" s="6"/>
      <c r="AJM398" s="6"/>
      <c r="AJN398" s="6"/>
      <c r="AJO398" s="6"/>
      <c r="AJP398" s="6"/>
      <c r="AJQ398" s="6"/>
      <c r="AJR398" s="6"/>
      <c r="AJS398" s="6"/>
      <c r="AJT398" s="6"/>
      <c r="AJU398" s="6"/>
      <c r="AJV398" s="6"/>
      <c r="AJW398" s="6"/>
      <c r="AJX398" s="6"/>
      <c r="AJY398" s="6"/>
      <c r="AJZ398" s="6"/>
      <c r="AKA398" s="6"/>
      <c r="AKB398" s="6"/>
      <c r="AKC398" s="6"/>
      <c r="AKD398" s="6"/>
      <c r="AKE398" s="6"/>
      <c r="AKF398" s="6"/>
      <c r="AKG398" s="6"/>
      <c r="AKH398" s="6"/>
      <c r="AKI398" s="6"/>
      <c r="AKJ398" s="6"/>
      <c r="AKK398" s="6"/>
      <c r="AKL398" s="6"/>
      <c r="AKM398" s="6"/>
      <c r="AKN398" s="6"/>
      <c r="AKO398" s="6"/>
      <c r="AKP398" s="6"/>
      <c r="AKQ398" s="6"/>
      <c r="AKR398" s="6"/>
      <c r="AKS398" s="6"/>
      <c r="AKT398" s="6"/>
      <c r="AKU398" s="6"/>
      <c r="AKV398" s="6"/>
      <c r="AKW398" s="6"/>
      <c r="AKX398" s="6"/>
      <c r="AKY398" s="6"/>
      <c r="AKZ398" s="6"/>
      <c r="ALA398" s="6"/>
      <c r="ALB398" s="6"/>
      <c r="ALC398" s="6"/>
      <c r="ALD398" s="6"/>
      <c r="ALE398" s="6"/>
      <c r="ALF398" s="6"/>
      <c r="ALG398" s="6"/>
      <c r="ALH398" s="6"/>
      <c r="ALI398" s="6"/>
      <c r="ALJ398" s="6"/>
      <c r="ALK398" s="6"/>
      <c r="ALL398" s="6"/>
      <c r="ALM398" s="6"/>
      <c r="ALN398" s="6"/>
      <c r="ALO398" s="6"/>
      <c r="ALP398" s="6"/>
      <c r="ALQ398" s="6"/>
      <c r="ALR398" s="6"/>
      <c r="ALS398" s="6"/>
      <c r="ALT398" s="6"/>
      <c r="ALU398" s="6"/>
      <c r="ALV398" s="6"/>
      <c r="ALW398" s="6"/>
      <c r="ALX398" s="6"/>
      <c r="ALY398" s="6"/>
      <c r="ALZ398" s="6"/>
      <c r="AMA398" s="6"/>
      <c r="AMB398" s="6"/>
      <c r="AMC398" s="6"/>
      <c r="AMD398" s="6"/>
      <c r="AME398" s="6"/>
      <c r="AMF398" s="6"/>
      <c r="AMG398" s="6"/>
      <c r="AMH398" s="6"/>
      <c r="AMI398" s="6"/>
      <c r="AMJ398" s="6"/>
      <c r="AMK398" s="6"/>
      <c r="AML398" s="6"/>
      <c r="AMM398" s="6"/>
      <c r="AMN398" s="6"/>
      <c r="AMO398" s="6"/>
      <c r="AMP398" s="6"/>
    </row>
    <row r="399" spans="1:1030" s="12" customFormat="1" x14ac:dyDescent="0.2">
      <c r="A399" s="9" t="str">
        <f t="shared" ref="A399" si="3465">CONCATENATE(B399,"_",C399)</f>
        <v>calrl_human_6UUN</v>
      </c>
      <c r="B399" s="40" t="s">
        <v>401</v>
      </c>
      <c r="C399" s="9" t="s">
        <v>1666</v>
      </c>
      <c r="D399" s="9" t="str">
        <f>IFERROR(MID(VLOOKUP($B399,Seqs!$A:$B,2,0),E399,1),"")</f>
        <v>T</v>
      </c>
      <c r="E399" s="9">
        <v>131</v>
      </c>
      <c r="F399" s="9" t="str">
        <f>IFERROR(MID(VLOOKUP($B399,Seqs!$A:$B,2,0),G399,1),"")</f>
        <v>F</v>
      </c>
      <c r="G399" s="9">
        <v>166</v>
      </c>
      <c r="H399" s="9" t="str">
        <f>IFERROR(MID(VLOOKUP($B399,Seqs!$A:$B,2,0),I399,1),"")</f>
        <v/>
      </c>
      <c r="I399" s="109" t="s">
        <v>23</v>
      </c>
      <c r="J399" s="9" t="str">
        <f>IFERROR(MID(VLOOKUP($B399,Seqs!$A:$B,2,0),K399,1),"")</f>
        <v/>
      </c>
      <c r="K399" s="109" t="s">
        <v>23</v>
      </c>
      <c r="L399" s="9" t="str">
        <f>IFERROR(MID(VLOOKUP($B399,Seqs!$A:$B,2,0),M399,1),"")</f>
        <v>C</v>
      </c>
      <c r="M399" s="9">
        <v>171</v>
      </c>
      <c r="N399" s="9" t="str">
        <f>IFERROR(MID(VLOOKUP($B399,Seqs!$A:$B,2,0),O399,1),"")</f>
        <v>A</v>
      </c>
      <c r="O399" s="9">
        <v>199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P</v>
      </c>
      <c r="U399" s="9">
        <v>209</v>
      </c>
      <c r="V399" s="9" t="str">
        <f>IFERROR(MID(VLOOKUP($B399,Seqs!$A:$B,2,0),W399,1),"")</f>
        <v>V</v>
      </c>
      <c r="W399" s="9">
        <v>242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M</v>
      </c>
      <c r="AC399" s="9">
        <v>253</v>
      </c>
      <c r="AD399" s="9" t="str">
        <f>IFERROR(MID(VLOOKUP($B399,Seqs!$A:$B,2,0),AE399,1),"")</f>
        <v>Y</v>
      </c>
      <c r="AE399" s="9">
        <v>278</v>
      </c>
      <c r="AF399" s="9" t="str">
        <f>IFERROR(MID(VLOOKUP($B399,Seqs!$A:$B,2,0),AG399,1),"")</f>
        <v>C</v>
      </c>
      <c r="AG399" s="9">
        <v>282</v>
      </c>
      <c r="AH399" s="9" t="str">
        <f>IFERROR(MID(VLOOKUP($B399,Seqs!$A:$B,2,0),AI399,1),"")</f>
        <v>I</v>
      </c>
      <c r="AI399" s="9">
        <v>284</v>
      </c>
      <c r="AJ399" s="9" t="str">
        <f>IFERROR(MID(VLOOKUP($B399,Seqs!$A:$B,2,0),AK399,1),"")</f>
        <v>L</v>
      </c>
      <c r="AK399" s="9">
        <v>290</v>
      </c>
      <c r="AL399" s="9" t="str">
        <f>IFERROR(MID(VLOOKUP($B399,Seqs!$A:$B,2,0),AM399,1),"")</f>
        <v>K</v>
      </c>
      <c r="AM399" s="9">
        <v>321</v>
      </c>
      <c r="AN399" s="9" t="str">
        <f>IFERROR(MID(VLOOKUP($B399,Seqs!$A:$B,2,0),AO399,1),"")</f>
        <v>K</v>
      </c>
      <c r="AO399" s="9">
        <v>333</v>
      </c>
      <c r="AP399" s="9" t="str">
        <f>IFERROR(MID(VLOOKUP($B399,Seqs!$A:$B,2,0),AQ399,1),"")</f>
        <v>L</v>
      </c>
      <c r="AQ399" s="9">
        <v>351</v>
      </c>
      <c r="AR399" s="9" t="str">
        <f>IFERROR(MID(VLOOKUP($B399,Seqs!$A:$B,2,0),AS399,1),"")</f>
        <v>E</v>
      </c>
      <c r="AS399" s="9">
        <v>363</v>
      </c>
      <c r="AT399" s="9" t="str">
        <f>IFERROR(MID(VLOOKUP($B399,Seqs!$A:$B,2,0),AU399,1),"")</f>
        <v>F</v>
      </c>
      <c r="AU399" s="9">
        <v>387</v>
      </c>
      <c r="AV399" s="9" t="str">
        <f>IFERROR(MID(VLOOKUP($B399,Seqs!$A:$B,2,0),AW399,1),"")</f>
        <v>N</v>
      </c>
      <c r="AW399" s="9">
        <v>388</v>
      </c>
      <c r="AX399" s="9" t="str">
        <f>IFERROR(MID(VLOOKUP($B399,Seqs!$A:$B,2,0),AY399,1),"")</f>
        <v>W</v>
      </c>
      <c r="AY399" s="9">
        <v>399</v>
      </c>
      <c r="AZ399" s="110" t="str">
        <f>VLOOKUP(B399,Classification!A:D,2,0)</f>
        <v>B1</v>
      </c>
      <c r="BA399" s="98" t="str">
        <f>VLOOKUP(B399,Classification!A:D,4,0)</f>
        <v>Calcitonin</v>
      </c>
      <c r="BB399" s="36" t="b">
        <f t="shared" ref="BB399" si="3466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3467">_xlfn.AGGREGATE(9,6,CH399:CS399)-_xlfn.AGGREGATE(9,6,BV399:CG399)+12</f>
        <v>219</v>
      </c>
      <c r="BD399" s="11" t="s">
        <v>23</v>
      </c>
      <c r="BE399" s="9" t="s">
        <v>1285</v>
      </c>
      <c r="BF399" s="119">
        <v>3</v>
      </c>
      <c r="BG399" s="51" t="s">
        <v>1416</v>
      </c>
      <c r="BH399" s="51" t="s">
        <v>1416</v>
      </c>
      <c r="BJ399" s="111" t="s">
        <v>1281</v>
      </c>
      <c r="BK399" s="112" t="s">
        <v>1281</v>
      </c>
      <c r="BL399" s="112" t="s">
        <v>1281</v>
      </c>
      <c r="BM399" s="112" t="s">
        <v>1281</v>
      </c>
      <c r="BN399" s="112" t="s">
        <v>1281</v>
      </c>
      <c r="BO399" s="112" t="s">
        <v>1281</v>
      </c>
      <c r="BP399" s="112" t="s">
        <v>1281</v>
      </c>
      <c r="BQ399" s="112" t="s">
        <v>1281</v>
      </c>
      <c r="BR399" s="112" t="s">
        <v>1281</v>
      </c>
      <c r="BS399" s="112" t="s">
        <v>1281</v>
      </c>
      <c r="BT399" s="112" t="s">
        <v>1281</v>
      </c>
      <c r="BU399" s="112" t="s">
        <v>1281</v>
      </c>
      <c r="BV399" s="111">
        <f t="shared" ref="BV399" si="3468">E399</f>
        <v>131</v>
      </c>
      <c r="BW399" s="113" t="str">
        <f t="shared" ref="BW399" si="3469">I399</f>
        <v>-</v>
      </c>
      <c r="BX399" s="114">
        <f t="shared" ref="BX399" si="3470">M399</f>
        <v>171</v>
      </c>
      <c r="BY399" s="113" t="str">
        <f t="shared" ref="BY399" si="3471">Q399</f>
        <v>-</v>
      </c>
      <c r="BZ399" s="114">
        <f t="shared" ref="BZ399" si="3472">U399</f>
        <v>209</v>
      </c>
      <c r="CA399" s="113" t="str">
        <f t="shared" ref="CA399" si="3473">Y399</f>
        <v>-</v>
      </c>
      <c r="CB399" s="114">
        <f t="shared" ref="CB399" si="3474">AC399</f>
        <v>253</v>
      </c>
      <c r="CC399" s="113">
        <f t="shared" ref="CC399" si="3475">AG399</f>
        <v>282</v>
      </c>
      <c r="CD399" s="114">
        <f t="shared" ref="CD399" si="3476">AK399</f>
        <v>290</v>
      </c>
      <c r="CE399" s="113">
        <f t="shared" ref="CE399" si="3477">AO399</f>
        <v>333</v>
      </c>
      <c r="CF399" s="114">
        <f t="shared" ref="CF399" si="3478">AS399</f>
        <v>363</v>
      </c>
      <c r="CG399" s="113">
        <f t="shared" ref="CG399" si="3479">AW399</f>
        <v>388</v>
      </c>
      <c r="CH399" s="111">
        <f t="shared" ref="CH399" si="3480">G399</f>
        <v>166</v>
      </c>
      <c r="CI399" s="113" t="str">
        <f t="shared" ref="CI399" si="3481">K399</f>
        <v>-</v>
      </c>
      <c r="CJ399" s="114">
        <f t="shared" ref="CJ399" si="3482">O399</f>
        <v>199</v>
      </c>
      <c r="CK399" s="114" t="str">
        <f t="shared" ref="CK399" si="3483">S399</f>
        <v>-</v>
      </c>
      <c r="CL399" s="114">
        <f t="shared" ref="CL399" si="3484">W399</f>
        <v>242</v>
      </c>
      <c r="CM399" s="114" t="str">
        <f t="shared" ref="CM399" si="3485">AA399</f>
        <v>-</v>
      </c>
      <c r="CN399" s="114">
        <f t="shared" ref="CN399" si="3486">AE399</f>
        <v>278</v>
      </c>
      <c r="CO399" s="114">
        <f t="shared" ref="CO399" si="3487">AI399</f>
        <v>284</v>
      </c>
      <c r="CP399" s="114">
        <f t="shared" ref="CP399" si="3488">AM399</f>
        <v>321</v>
      </c>
      <c r="CQ399" s="114">
        <f t="shared" ref="CQ399" si="3489">AQ399</f>
        <v>351</v>
      </c>
      <c r="CR399" s="114">
        <f t="shared" ref="CR399" si="3490">AU399</f>
        <v>387</v>
      </c>
      <c r="CS399" s="114">
        <f t="shared" ref="CS399" si="3491">AY399</f>
        <v>399</v>
      </c>
      <c r="CT399" s="109" t="e">
        <f t="shared" ref="CT399" si="3492">M399-K399</f>
        <v>#VALUE!</v>
      </c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28"/>
      <c r="FA399" s="128"/>
      <c r="FB399" s="128"/>
      <c r="FC399" s="128"/>
      <c r="FD399" s="128"/>
      <c r="FE399" s="128"/>
      <c r="FF399" s="128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  <c r="GW399" s="128"/>
      <c r="GX399" s="128"/>
      <c r="GY399" s="128"/>
      <c r="GZ399" s="128"/>
      <c r="HA399" s="128"/>
      <c r="HB399" s="128"/>
      <c r="HC399" s="128"/>
      <c r="HD399" s="128"/>
      <c r="HE399" s="128"/>
      <c r="HF399" s="128"/>
      <c r="HG399" s="128"/>
      <c r="HH399" s="128"/>
      <c r="HI399" s="128"/>
      <c r="HJ399" s="128"/>
      <c r="HK399" s="128"/>
      <c r="HL399" s="128"/>
      <c r="HM399" s="128"/>
      <c r="HN399" s="128"/>
      <c r="HO399" s="128"/>
      <c r="HP399" s="128"/>
      <c r="HQ399" s="128"/>
      <c r="HR399" s="128"/>
      <c r="HS399" s="128"/>
      <c r="HT399" s="128"/>
      <c r="HU399" s="128"/>
      <c r="HV399" s="128"/>
      <c r="HW399" s="128"/>
      <c r="HX399" s="128"/>
      <c r="HY399" s="128"/>
      <c r="HZ399" s="128"/>
      <c r="IA399" s="128"/>
      <c r="IB399" s="128"/>
      <c r="IC399" s="128"/>
      <c r="ID399" s="128"/>
      <c r="IE399" s="128"/>
      <c r="IF399" s="128"/>
      <c r="IG399" s="128"/>
      <c r="IH399" s="128"/>
      <c r="II399" s="128"/>
      <c r="IJ399" s="128"/>
      <c r="IK399" s="128"/>
      <c r="IL399" s="128"/>
      <c r="IM399" s="128"/>
      <c r="IN399" s="128"/>
      <c r="IO399" s="128"/>
      <c r="IP399" s="128"/>
      <c r="IQ399" s="128"/>
      <c r="IR399" s="128"/>
      <c r="IS399" s="128"/>
      <c r="IT399" s="128"/>
      <c r="IU399" s="128"/>
      <c r="IV399" s="128"/>
      <c r="IW399" s="128"/>
      <c r="IX399" s="128"/>
      <c r="IY399" s="128"/>
      <c r="IZ399" s="128"/>
      <c r="JA399" s="128"/>
      <c r="JB399" s="128"/>
      <c r="JC399" s="128"/>
      <c r="JD399" s="128"/>
      <c r="JE399" s="128"/>
      <c r="JF399" s="128"/>
      <c r="JG399" s="128"/>
      <c r="JH399" s="128"/>
      <c r="JI399" s="128"/>
      <c r="JJ399" s="128"/>
      <c r="JK399" s="128"/>
      <c r="JL399" s="128"/>
      <c r="JM399" s="128"/>
      <c r="JN399" s="128"/>
      <c r="JO399" s="128"/>
      <c r="JP399" s="128"/>
      <c r="JQ399" s="128"/>
      <c r="JR399" s="128"/>
      <c r="JS399" s="128"/>
      <c r="JT399" s="128"/>
      <c r="JU399" s="128"/>
      <c r="JV399" s="128"/>
      <c r="JW399" s="128"/>
      <c r="JX399" s="128"/>
      <c r="JY399" s="128"/>
      <c r="JZ399" s="128"/>
      <c r="KA399" s="128"/>
      <c r="KB399" s="128"/>
      <c r="KC399" s="128"/>
      <c r="KD399" s="128"/>
      <c r="KE399" s="128"/>
      <c r="KF399" s="128"/>
      <c r="KG399" s="128"/>
      <c r="KH399" s="128"/>
      <c r="KI399" s="128"/>
      <c r="KJ399" s="128"/>
      <c r="KK399" s="128"/>
      <c r="KL399" s="128"/>
      <c r="KM399" s="128"/>
      <c r="KN399" s="128"/>
      <c r="KO399" s="128"/>
      <c r="KP399" s="128"/>
      <c r="KQ399" s="128"/>
      <c r="KR399" s="128"/>
      <c r="KS399" s="128"/>
      <c r="KT399" s="128"/>
      <c r="KU399" s="128"/>
      <c r="KV399" s="128"/>
      <c r="KW399" s="128"/>
      <c r="KX399" s="128"/>
      <c r="KY399" s="128"/>
      <c r="KZ399" s="128"/>
      <c r="LA399" s="128"/>
      <c r="LB399" s="128"/>
      <c r="LC399" s="128"/>
      <c r="LD399" s="128"/>
      <c r="LE399" s="128"/>
      <c r="LF399" s="128"/>
      <c r="LG399" s="128"/>
      <c r="LH399" s="128"/>
      <c r="LI399" s="128"/>
      <c r="LJ399" s="128"/>
      <c r="LK399" s="128"/>
      <c r="LL399" s="128"/>
      <c r="LM399" s="128"/>
      <c r="LN399" s="128"/>
      <c r="LO399" s="128"/>
      <c r="LP399" s="128"/>
      <c r="LQ399" s="128"/>
      <c r="LR399" s="128"/>
      <c r="LS399" s="128"/>
      <c r="LT399" s="128"/>
      <c r="LU399" s="128"/>
      <c r="LV399" s="128"/>
      <c r="LW399" s="128"/>
      <c r="LX399" s="128"/>
      <c r="LY399" s="128"/>
      <c r="LZ399" s="128"/>
      <c r="MA399" s="128"/>
      <c r="MB399" s="128"/>
      <c r="MC399" s="128"/>
      <c r="MD399" s="128"/>
      <c r="ME399" s="128"/>
      <c r="MF399" s="128"/>
      <c r="MG399" s="128"/>
      <c r="MH399" s="128"/>
      <c r="MI399" s="128"/>
      <c r="MJ399" s="128"/>
      <c r="MK399" s="128"/>
      <c r="ML399" s="128"/>
      <c r="MM399" s="128"/>
      <c r="MN399" s="128"/>
      <c r="MO399" s="128"/>
      <c r="MP399" s="128"/>
      <c r="MQ399" s="128"/>
      <c r="MR399" s="128"/>
      <c r="MS399" s="128"/>
      <c r="MT399" s="128"/>
      <c r="MU399" s="128"/>
      <c r="MV399" s="128"/>
      <c r="MW399" s="128"/>
      <c r="MX399" s="128"/>
      <c r="MY399" s="128"/>
      <c r="MZ399" s="128"/>
      <c r="NA399" s="128"/>
      <c r="NB399" s="128"/>
      <c r="NC399" s="128"/>
      <c r="ND399" s="128"/>
      <c r="NE399" s="128"/>
      <c r="NF399" s="128"/>
      <c r="NG399" s="128"/>
      <c r="NH399" s="128"/>
      <c r="NI399" s="128"/>
      <c r="NJ399" s="128"/>
      <c r="NK399" s="128"/>
      <c r="NL399" s="128"/>
      <c r="NM399" s="128"/>
      <c r="NN399" s="128"/>
      <c r="NO399" s="128"/>
      <c r="NP399" s="128"/>
      <c r="NQ399" s="128"/>
      <c r="NR399" s="128"/>
      <c r="NS399" s="128"/>
      <c r="NT399" s="128"/>
      <c r="NU399" s="128"/>
      <c r="NV399" s="128"/>
      <c r="NW399" s="128"/>
      <c r="NX399" s="128"/>
      <c r="NY399" s="128"/>
      <c r="NZ399" s="128"/>
      <c r="OA399" s="128"/>
      <c r="OB399" s="128"/>
      <c r="OC399" s="128"/>
      <c r="OD399" s="128"/>
      <c r="OE399" s="128"/>
      <c r="OF399" s="128"/>
      <c r="OG399" s="128"/>
      <c r="OH399" s="128"/>
      <c r="OI399" s="128"/>
      <c r="OJ399" s="128"/>
      <c r="OK399" s="128"/>
      <c r="OL399" s="128"/>
      <c r="OM399" s="128"/>
      <c r="ON399" s="128"/>
      <c r="OO399" s="128"/>
      <c r="OP399" s="128"/>
      <c r="OQ399" s="128"/>
      <c r="OR399" s="128"/>
      <c r="OS399" s="128"/>
      <c r="OT399" s="128"/>
      <c r="OU399" s="128"/>
      <c r="OV399" s="128"/>
      <c r="OW399" s="128"/>
      <c r="OX399" s="128"/>
      <c r="OY399" s="128"/>
      <c r="OZ399" s="128"/>
      <c r="PA399" s="128"/>
      <c r="PB399" s="128"/>
      <c r="PC399" s="128"/>
      <c r="PD399" s="128"/>
      <c r="PE399" s="128"/>
      <c r="PF399" s="128"/>
      <c r="PG399" s="128"/>
      <c r="PH399" s="128"/>
      <c r="PI399" s="128"/>
      <c r="PJ399" s="128"/>
      <c r="PK399" s="128"/>
      <c r="PL399" s="128"/>
      <c r="PM399" s="128"/>
      <c r="PN399" s="128"/>
      <c r="PO399" s="128"/>
      <c r="PP399" s="128"/>
      <c r="PQ399" s="128"/>
      <c r="PR399" s="128"/>
      <c r="PS399" s="128"/>
      <c r="PT399" s="128"/>
      <c r="PU399" s="128"/>
      <c r="PV399" s="128"/>
      <c r="PW399" s="128"/>
      <c r="PX399" s="128"/>
      <c r="PY399" s="128"/>
      <c r="PZ399" s="128"/>
      <c r="QA399" s="128"/>
      <c r="QB399" s="128"/>
      <c r="QC399" s="128"/>
      <c r="QD399" s="128"/>
      <c r="QE399" s="128"/>
      <c r="QF399" s="128"/>
      <c r="QG399" s="128"/>
      <c r="QH399" s="128"/>
      <c r="QI399" s="128"/>
      <c r="QJ399" s="128"/>
      <c r="QK399" s="128"/>
      <c r="QL399" s="128"/>
      <c r="QM399" s="128"/>
      <c r="QN399" s="128"/>
      <c r="QO399" s="128"/>
      <c r="QP399" s="128"/>
      <c r="QQ399" s="128"/>
      <c r="QR399" s="128"/>
      <c r="QS399" s="128"/>
      <c r="QT399" s="128"/>
      <c r="QU399" s="128"/>
      <c r="QV399" s="128"/>
      <c r="QW399" s="128"/>
      <c r="QX399" s="128"/>
      <c r="QY399" s="128"/>
      <c r="QZ399" s="128"/>
      <c r="RA399" s="128"/>
      <c r="RB399" s="128"/>
      <c r="RC399" s="128"/>
      <c r="RD399" s="128"/>
      <c r="RE399" s="128"/>
      <c r="RF399" s="128"/>
      <c r="RG399" s="128"/>
      <c r="RH399" s="128"/>
      <c r="RI399" s="128"/>
      <c r="RJ399" s="128"/>
      <c r="RK399" s="128"/>
      <c r="RL399" s="128"/>
      <c r="RM399" s="128"/>
      <c r="RN399" s="128"/>
      <c r="RO399" s="128"/>
      <c r="RP399" s="128"/>
      <c r="RQ399" s="128"/>
      <c r="RR399" s="128"/>
      <c r="RS399" s="128"/>
      <c r="RT399" s="128"/>
      <c r="RU399" s="128"/>
      <c r="RV399" s="128"/>
      <c r="RW399" s="128"/>
      <c r="RX399" s="128"/>
      <c r="RY399" s="128"/>
      <c r="RZ399" s="128"/>
      <c r="SA399" s="128"/>
      <c r="SB399" s="128"/>
      <c r="SC399" s="128"/>
      <c r="SD399" s="128"/>
      <c r="SE399" s="128"/>
      <c r="SF399" s="128"/>
      <c r="SG399" s="128"/>
      <c r="SH399" s="128"/>
      <c r="SI399" s="128"/>
      <c r="SJ399" s="128"/>
      <c r="SK399" s="128"/>
      <c r="SL399" s="128"/>
      <c r="SM399" s="128"/>
      <c r="SN399" s="128"/>
      <c r="SO399" s="128"/>
      <c r="SP399" s="128"/>
      <c r="SQ399" s="128"/>
      <c r="SR399" s="128"/>
      <c r="SS399" s="128"/>
      <c r="ST399" s="128"/>
      <c r="SU399" s="128"/>
      <c r="SV399" s="128"/>
      <c r="SW399" s="128"/>
      <c r="SX399" s="128"/>
      <c r="SY399" s="128"/>
      <c r="SZ399" s="128"/>
      <c r="TA399" s="128"/>
      <c r="TB399" s="128"/>
      <c r="TC399" s="128"/>
      <c r="TD399" s="128"/>
      <c r="TE399" s="128"/>
      <c r="TF399" s="128"/>
      <c r="TG399" s="128"/>
      <c r="TH399" s="128"/>
      <c r="TI399" s="128"/>
      <c r="TJ399" s="128"/>
      <c r="TK399" s="128"/>
      <c r="TL399" s="128"/>
      <c r="TM399" s="128"/>
      <c r="TN399" s="128"/>
      <c r="TO399" s="128"/>
      <c r="TP399" s="128"/>
      <c r="TQ399" s="128"/>
      <c r="TR399" s="128"/>
      <c r="TS399" s="128"/>
      <c r="TT399" s="128"/>
      <c r="TU399" s="128"/>
      <c r="TV399" s="128"/>
      <c r="TW399" s="128"/>
      <c r="TX399" s="128"/>
      <c r="TY399" s="128"/>
      <c r="TZ399" s="128"/>
      <c r="UA399" s="128"/>
      <c r="UB399" s="128"/>
      <c r="UC399" s="128"/>
      <c r="UD399" s="128"/>
      <c r="UE399" s="128"/>
      <c r="UF399" s="128"/>
      <c r="UG399" s="128"/>
      <c r="UH399" s="128"/>
      <c r="UI399" s="128"/>
      <c r="UJ399" s="128"/>
      <c r="UK399" s="128"/>
      <c r="UL399" s="128"/>
      <c r="UM399" s="128"/>
      <c r="UN399" s="128"/>
      <c r="UO399" s="128"/>
      <c r="UP399" s="128"/>
      <c r="UQ399" s="128"/>
      <c r="UR399" s="128"/>
      <c r="US399" s="128"/>
      <c r="UT399" s="128"/>
      <c r="UU399" s="128"/>
      <c r="UV399" s="128"/>
      <c r="UW399" s="128"/>
      <c r="UX399" s="128"/>
      <c r="UY399" s="128"/>
      <c r="UZ399" s="128"/>
      <c r="VA399" s="128"/>
      <c r="VB399" s="128"/>
      <c r="VC399" s="128"/>
      <c r="VD399" s="128"/>
      <c r="VE399" s="128"/>
      <c r="VF399" s="128"/>
      <c r="VG399" s="128"/>
      <c r="VH399" s="128"/>
      <c r="VI399" s="128"/>
      <c r="VJ399" s="128"/>
      <c r="VK399" s="128"/>
      <c r="VL399" s="128"/>
      <c r="VM399" s="128"/>
      <c r="VN399" s="128"/>
      <c r="VO399" s="128"/>
      <c r="VP399" s="128"/>
      <c r="VQ399" s="128"/>
      <c r="VR399" s="128"/>
      <c r="VS399" s="128"/>
      <c r="VT399" s="128"/>
      <c r="VU399" s="128"/>
      <c r="VV399" s="128"/>
      <c r="VW399" s="128"/>
      <c r="VX399" s="128"/>
      <c r="VY399" s="128"/>
      <c r="VZ399" s="128"/>
      <c r="WA399" s="128"/>
      <c r="WB399" s="128"/>
      <c r="WC399" s="128"/>
      <c r="WD399" s="128"/>
      <c r="WE399" s="128"/>
      <c r="WF399" s="128"/>
      <c r="WG399" s="128"/>
      <c r="WH399" s="128"/>
      <c r="WI399" s="128"/>
      <c r="WJ399" s="128"/>
      <c r="WK399" s="128"/>
      <c r="WL399" s="128"/>
      <c r="WM399" s="128"/>
      <c r="WN399" s="128"/>
      <c r="WO399" s="128"/>
      <c r="WP399" s="128"/>
      <c r="WQ399" s="128"/>
      <c r="WR399" s="128"/>
      <c r="WS399" s="128"/>
      <c r="WT399" s="128"/>
      <c r="WU399" s="128"/>
      <c r="WV399" s="128"/>
      <c r="WW399" s="128"/>
      <c r="WX399" s="128"/>
      <c r="WY399" s="128"/>
      <c r="WZ399" s="128"/>
      <c r="XA399" s="128"/>
      <c r="XB399" s="128"/>
      <c r="XC399" s="128"/>
      <c r="XD399" s="128"/>
      <c r="XE399" s="128"/>
      <c r="XF399" s="128"/>
      <c r="XG399" s="128"/>
      <c r="XH399" s="128"/>
      <c r="XI399" s="128"/>
      <c r="XJ399" s="128"/>
      <c r="XK399" s="128"/>
      <c r="XL399" s="128"/>
      <c r="XM399" s="128"/>
      <c r="XN399" s="128"/>
      <c r="XO399" s="128"/>
      <c r="XP399" s="128"/>
      <c r="XQ399" s="128"/>
      <c r="XR399" s="128"/>
      <c r="XS399" s="128"/>
      <c r="XT399" s="128"/>
      <c r="XU399" s="128"/>
      <c r="XV399" s="128"/>
      <c r="XW399" s="128"/>
      <c r="XX399" s="128"/>
      <c r="XY399" s="128"/>
      <c r="XZ399" s="128"/>
      <c r="YA399" s="128"/>
      <c r="YB399" s="128"/>
      <c r="YC399" s="128"/>
      <c r="YD399" s="128"/>
      <c r="YE399" s="128"/>
      <c r="YF399" s="128"/>
      <c r="YG399" s="128"/>
      <c r="YH399" s="128"/>
      <c r="YI399" s="128"/>
      <c r="YJ399" s="128"/>
      <c r="YK399" s="128"/>
      <c r="YL399" s="128"/>
      <c r="YM399" s="128"/>
      <c r="YN399" s="128"/>
      <c r="YO399" s="128"/>
      <c r="YP399" s="128"/>
      <c r="YQ399" s="128"/>
      <c r="YR399" s="128"/>
      <c r="YS399" s="128"/>
      <c r="YT399" s="128"/>
      <c r="YU399" s="128"/>
      <c r="YV399" s="128"/>
      <c r="YW399" s="128"/>
      <c r="YX399" s="128"/>
      <c r="YY399" s="128"/>
      <c r="YZ399" s="128"/>
      <c r="ZA399" s="128"/>
      <c r="ZB399" s="128"/>
      <c r="ZC399" s="128"/>
      <c r="ZD399" s="128"/>
      <c r="ZE399" s="128"/>
      <c r="ZF399" s="128"/>
      <c r="ZG399" s="128"/>
      <c r="ZH399" s="128"/>
      <c r="ZI399" s="128"/>
      <c r="ZJ399" s="128"/>
      <c r="ZK399" s="128"/>
      <c r="ZL399" s="128"/>
      <c r="ZM399" s="128"/>
      <c r="ZN399" s="128"/>
      <c r="ZO399" s="128"/>
      <c r="ZP399" s="128"/>
      <c r="ZQ399" s="128"/>
      <c r="ZR399" s="128"/>
      <c r="ZS399" s="128"/>
      <c r="ZT399" s="128"/>
      <c r="ZU399" s="128"/>
      <c r="ZV399" s="128"/>
      <c r="ZW399" s="128"/>
      <c r="ZX399" s="128"/>
      <c r="ZY399" s="128"/>
      <c r="ZZ399" s="128"/>
      <c r="AAA399" s="128"/>
      <c r="AAB399" s="128"/>
      <c r="AAC399" s="128"/>
      <c r="AAD399" s="128"/>
      <c r="AAE399" s="128"/>
      <c r="AAF399" s="128"/>
      <c r="AAG399" s="128"/>
      <c r="AAH399" s="128"/>
      <c r="AAI399" s="128"/>
      <c r="AAJ399" s="128"/>
      <c r="AAK399" s="128"/>
      <c r="AAL399" s="128"/>
      <c r="AAM399" s="128"/>
      <c r="AAN399" s="128"/>
      <c r="AAO399" s="128"/>
      <c r="AAP399" s="128"/>
      <c r="AAQ399" s="128"/>
      <c r="AAR399" s="128"/>
      <c r="AAS399" s="128"/>
      <c r="AAT399" s="128"/>
      <c r="AAU399" s="128"/>
      <c r="AAV399" s="128"/>
      <c r="AAW399" s="128"/>
      <c r="AAX399" s="128"/>
      <c r="AAY399" s="128"/>
      <c r="AAZ399" s="128"/>
      <c r="ABA399" s="128"/>
      <c r="ABB399" s="128"/>
      <c r="ABC399" s="128"/>
      <c r="ABD399" s="128"/>
      <c r="ABE399" s="128"/>
      <c r="ABF399" s="128"/>
      <c r="ABG399" s="128"/>
      <c r="ABH399" s="128"/>
      <c r="ABI399" s="128"/>
      <c r="ABJ399" s="128"/>
      <c r="ABK399" s="128"/>
      <c r="ABL399" s="128"/>
      <c r="ABM399" s="128"/>
      <c r="ABN399" s="128"/>
      <c r="ABO399" s="128"/>
      <c r="ABP399" s="128"/>
      <c r="ABQ399" s="128"/>
      <c r="ABR399" s="128"/>
      <c r="ABS399" s="128"/>
      <c r="ABT399" s="128"/>
      <c r="ABU399" s="128"/>
      <c r="ABV399" s="128"/>
      <c r="ABW399" s="128"/>
      <c r="ABX399" s="128"/>
      <c r="ABY399" s="128"/>
      <c r="ABZ399" s="128"/>
      <c r="ACA399" s="128"/>
      <c r="ACB399" s="128"/>
      <c r="ACC399" s="128"/>
      <c r="ACD399" s="128"/>
      <c r="ACE399" s="128"/>
      <c r="ACF399" s="128"/>
      <c r="ACG399" s="128"/>
      <c r="ACH399" s="128"/>
      <c r="ACI399" s="128"/>
      <c r="ACJ399" s="128"/>
      <c r="ACK399" s="128"/>
      <c r="ACL399" s="128"/>
      <c r="ACM399" s="128"/>
      <c r="ACN399" s="128"/>
      <c r="ACO399" s="128"/>
      <c r="ACP399" s="128"/>
      <c r="ACQ399" s="128"/>
      <c r="ACR399" s="128"/>
      <c r="ACS399" s="128"/>
      <c r="ACT399" s="128"/>
      <c r="ACU399" s="128"/>
      <c r="ACV399" s="128"/>
      <c r="ACW399" s="128"/>
      <c r="ACX399" s="128"/>
      <c r="ACY399" s="128"/>
      <c r="ACZ399" s="128"/>
      <c r="ADA399" s="128"/>
      <c r="ADB399" s="128"/>
      <c r="ADC399" s="128"/>
      <c r="ADD399" s="128"/>
      <c r="ADE399" s="128"/>
      <c r="ADF399" s="128"/>
      <c r="ADG399" s="128"/>
      <c r="ADH399" s="128"/>
      <c r="ADI399" s="128"/>
      <c r="ADJ399" s="128"/>
      <c r="ADK399" s="128"/>
      <c r="ADL399" s="128"/>
      <c r="ADM399" s="128"/>
      <c r="ADN399" s="128"/>
      <c r="ADO399" s="128"/>
      <c r="ADP399" s="128"/>
      <c r="ADQ399" s="128"/>
      <c r="ADR399" s="128"/>
      <c r="ADS399" s="128"/>
      <c r="ADT399" s="128"/>
      <c r="ADU399" s="128"/>
      <c r="ADV399" s="128"/>
      <c r="ADW399" s="128"/>
      <c r="ADX399" s="128"/>
      <c r="ADY399" s="128"/>
      <c r="ADZ399" s="128"/>
      <c r="AEA399" s="128"/>
      <c r="AEB399" s="128"/>
      <c r="AEC399" s="128"/>
      <c r="AED399" s="128"/>
      <c r="AEE399" s="128"/>
      <c r="AEF399" s="128"/>
      <c r="AEG399" s="128"/>
      <c r="AEH399" s="128"/>
      <c r="AEI399" s="128"/>
      <c r="AEJ399" s="128"/>
      <c r="AEK399" s="128"/>
      <c r="AEL399" s="128"/>
      <c r="AEM399" s="128"/>
      <c r="AEN399" s="128"/>
      <c r="AEO399" s="128"/>
      <c r="AEP399" s="128"/>
      <c r="AEQ399" s="128"/>
      <c r="AER399" s="128"/>
      <c r="AES399" s="128"/>
      <c r="AET399" s="128"/>
      <c r="AEU399" s="128"/>
      <c r="AEV399" s="128"/>
      <c r="AEW399" s="128"/>
      <c r="AEX399" s="128"/>
      <c r="AEY399" s="128"/>
      <c r="AEZ399" s="128"/>
      <c r="AFA399" s="128"/>
      <c r="AFB399" s="128"/>
      <c r="AFC399" s="128"/>
      <c r="AFD399" s="128"/>
      <c r="AFE399" s="128"/>
      <c r="AFF399" s="128"/>
      <c r="AFG399" s="128"/>
      <c r="AFH399" s="128"/>
      <c r="AFI399" s="128"/>
      <c r="AFJ399" s="128"/>
      <c r="AFK399" s="128"/>
      <c r="AFL399" s="128"/>
      <c r="AFM399" s="128"/>
      <c r="AFN399" s="128"/>
      <c r="AFO399" s="128"/>
      <c r="AFP399" s="128"/>
      <c r="AFQ399" s="128"/>
      <c r="AFR399" s="128"/>
      <c r="AFS399" s="128"/>
      <c r="AFT399" s="128"/>
      <c r="AFU399" s="128"/>
      <c r="AFV399" s="128"/>
      <c r="AFW399" s="128"/>
      <c r="AFX399" s="128"/>
      <c r="AFY399" s="128"/>
      <c r="AFZ399" s="128"/>
      <c r="AGA399" s="128"/>
      <c r="AGB399" s="128"/>
      <c r="AGC399" s="128"/>
      <c r="AGD399" s="128"/>
      <c r="AGE399" s="128"/>
      <c r="AGF399" s="128"/>
      <c r="AGG399" s="128"/>
      <c r="AGH399" s="128"/>
      <c r="AGI399" s="128"/>
      <c r="AGJ399" s="128"/>
      <c r="AGK399" s="128"/>
      <c r="AGL399" s="128"/>
      <c r="AGM399" s="128"/>
      <c r="AGN399" s="128"/>
      <c r="AGO399" s="128"/>
      <c r="AGP399" s="128"/>
      <c r="AGQ399" s="128"/>
      <c r="AGR399" s="128"/>
      <c r="AGS399" s="128"/>
      <c r="AGT399" s="128"/>
      <c r="AGU399" s="128"/>
      <c r="AGV399" s="128"/>
      <c r="AGW399" s="128"/>
      <c r="AGX399" s="128"/>
      <c r="AGY399" s="128"/>
      <c r="AGZ399" s="128"/>
      <c r="AHA399" s="128"/>
      <c r="AHB399" s="128"/>
      <c r="AHC399" s="128"/>
      <c r="AHD399" s="128"/>
      <c r="AHE399" s="128"/>
      <c r="AHF399" s="128"/>
      <c r="AHG399" s="128"/>
      <c r="AHH399" s="128"/>
      <c r="AHI399" s="128"/>
      <c r="AHJ399" s="128"/>
      <c r="AHK399" s="128"/>
      <c r="AHL399" s="128"/>
      <c r="AHM399" s="128"/>
      <c r="AHN399" s="128"/>
      <c r="AHO399" s="128"/>
      <c r="AHP399" s="128"/>
      <c r="AHQ399" s="128"/>
      <c r="AHR399" s="128"/>
      <c r="AHS399" s="128"/>
      <c r="AHT399" s="128"/>
      <c r="AHU399" s="128"/>
      <c r="AHV399" s="128"/>
      <c r="AHW399" s="128"/>
      <c r="AHX399" s="128"/>
      <c r="AHY399" s="128"/>
      <c r="AHZ399" s="128"/>
      <c r="AIA399" s="128"/>
      <c r="AIB399" s="128"/>
      <c r="AIC399" s="128"/>
      <c r="AID399" s="128"/>
      <c r="AIE399" s="128"/>
      <c r="AIF399" s="128"/>
      <c r="AIG399" s="128"/>
      <c r="AIH399" s="128"/>
      <c r="AII399" s="128"/>
      <c r="AIJ399" s="128"/>
      <c r="AIK399" s="128"/>
      <c r="AIL399" s="128"/>
      <c r="AIM399" s="128"/>
      <c r="AIN399" s="128"/>
      <c r="AIO399" s="128"/>
      <c r="AIP399" s="128"/>
      <c r="AIQ399" s="128"/>
      <c r="AIR399" s="128"/>
      <c r="AIS399" s="128"/>
      <c r="AIT399" s="128"/>
      <c r="AIU399" s="128"/>
      <c r="AIV399" s="128"/>
      <c r="AIW399" s="128"/>
      <c r="AIX399" s="128"/>
      <c r="AIY399" s="128"/>
      <c r="AIZ399" s="128"/>
      <c r="AJA399" s="128"/>
      <c r="AJB399" s="128"/>
      <c r="AJC399" s="128"/>
      <c r="AJD399" s="128"/>
      <c r="AJE399" s="128"/>
      <c r="AJF399" s="128"/>
      <c r="AJG399" s="128"/>
      <c r="AJH399" s="128"/>
      <c r="AJI399" s="128"/>
      <c r="AJJ399" s="128"/>
      <c r="AJK399" s="128"/>
      <c r="AJL399" s="128"/>
      <c r="AJM399" s="128"/>
      <c r="AJN399" s="128"/>
      <c r="AJO399" s="128"/>
      <c r="AJP399" s="128"/>
      <c r="AJQ399" s="128"/>
      <c r="AJR399" s="128"/>
      <c r="AJS399" s="128"/>
      <c r="AJT399" s="128"/>
      <c r="AJU399" s="128"/>
      <c r="AJV399" s="128"/>
      <c r="AJW399" s="128"/>
      <c r="AJX399" s="128"/>
      <c r="AJY399" s="128"/>
      <c r="AJZ399" s="128"/>
      <c r="AKA399" s="128"/>
      <c r="AKB399" s="128"/>
      <c r="AKC399" s="128"/>
      <c r="AKD399" s="128"/>
      <c r="AKE399" s="128"/>
      <c r="AKF399" s="128"/>
      <c r="AKG399" s="128"/>
      <c r="AKH399" s="128"/>
      <c r="AKI399" s="128"/>
      <c r="AKJ399" s="128"/>
      <c r="AKK399" s="128"/>
      <c r="AKL399" s="128"/>
      <c r="AKM399" s="128"/>
      <c r="AKN399" s="128"/>
      <c r="AKO399" s="128"/>
      <c r="AKP399" s="128"/>
      <c r="AKQ399" s="128"/>
      <c r="AKR399" s="128"/>
      <c r="AKS399" s="128"/>
      <c r="AKT399" s="128"/>
      <c r="AKU399" s="128"/>
      <c r="AKV399" s="128"/>
      <c r="AKW399" s="128"/>
      <c r="AKX399" s="128"/>
      <c r="AKY399" s="128"/>
      <c r="AKZ399" s="128"/>
      <c r="ALA399" s="128"/>
      <c r="ALB399" s="128"/>
      <c r="ALC399" s="128"/>
      <c r="ALD399" s="128"/>
      <c r="ALE399" s="128"/>
      <c r="ALF399" s="128"/>
      <c r="ALG399" s="128"/>
      <c r="ALH399" s="128"/>
      <c r="ALI399" s="128"/>
      <c r="ALJ399" s="128"/>
      <c r="ALK399" s="128"/>
      <c r="ALL399" s="128"/>
      <c r="ALM399" s="128"/>
      <c r="ALN399" s="128"/>
      <c r="ALO399" s="128"/>
      <c r="ALP399" s="128"/>
      <c r="ALQ399" s="128"/>
      <c r="ALR399" s="128"/>
      <c r="ALS399" s="128"/>
      <c r="ALT399" s="128"/>
      <c r="ALU399" s="128"/>
      <c r="ALV399" s="128"/>
      <c r="ALW399" s="128"/>
      <c r="ALX399" s="128"/>
      <c r="ALY399" s="128"/>
      <c r="ALZ399" s="128"/>
      <c r="AMA399" s="128"/>
      <c r="AMB399" s="128"/>
      <c r="AMC399" s="128"/>
      <c r="AMD399" s="128"/>
      <c r="AME399" s="128"/>
      <c r="AMF399" s="128"/>
      <c r="AMG399" s="128"/>
      <c r="AMH399" s="128"/>
      <c r="AMI399" s="128"/>
      <c r="AMJ399" s="128"/>
      <c r="AMK399" s="128"/>
      <c r="AML399" s="128"/>
      <c r="AMM399" s="128"/>
      <c r="AMN399" s="128"/>
      <c r="AMO399" s="128"/>
      <c r="AMP399" s="128"/>
    </row>
    <row r="400" spans="1:1030" s="12" customFormat="1" x14ac:dyDescent="0.2">
      <c r="A400" s="9" t="str">
        <f t="shared" ref="A400" si="3493">CONCATENATE(B400,"_",C400)</f>
        <v>calrl_human_6UUS</v>
      </c>
      <c r="B400" s="40" t="s">
        <v>401</v>
      </c>
      <c r="C400" s="9" t="s">
        <v>1667</v>
      </c>
      <c r="D400" s="9" t="str">
        <f>IFERROR(MID(VLOOKUP($B400,Seqs!$A:$B,2,0),E400,1),"")</f>
        <v>T</v>
      </c>
      <c r="E400" s="9">
        <v>131</v>
      </c>
      <c r="F400" s="9" t="str">
        <f>IFERROR(MID(VLOOKUP($B400,Seqs!$A:$B,2,0),G400,1),"")</f>
        <v>F</v>
      </c>
      <c r="G400" s="9">
        <v>166</v>
      </c>
      <c r="H400" s="9" t="str">
        <f>IFERROR(MID(VLOOKUP($B400,Seqs!$A:$B,2,0),I400,1),"")</f>
        <v>K</v>
      </c>
      <c r="I400" s="109">
        <v>167</v>
      </c>
      <c r="J400" s="9" t="str">
        <f>IFERROR(MID(VLOOKUP($B400,Seqs!$A:$B,2,0),K400,1),"")</f>
        <v>S</v>
      </c>
      <c r="K400" s="109">
        <v>170</v>
      </c>
      <c r="L400" s="9" t="str">
        <f>IFERROR(MID(VLOOKUP($B400,Seqs!$A:$B,2,0),M400,1),"")</f>
        <v>C</v>
      </c>
      <c r="M400" s="9">
        <v>171</v>
      </c>
      <c r="N400" s="9" t="str">
        <f>IFERROR(MID(VLOOKUP($B400,Seqs!$A:$B,2,0),O400,1),"")</f>
        <v>V</v>
      </c>
      <c r="O400" s="9">
        <v>198</v>
      </c>
      <c r="P400" s="9" t="str">
        <f>IFERROR(MID(VLOOKUP($B400,Seqs!$A:$B,2,0),Q400,1),"")</f>
        <v/>
      </c>
      <c r="Q400" s="9" t="s">
        <v>23</v>
      </c>
      <c r="R400" s="9" t="str">
        <f>IFERROR(MID(VLOOKUP($B400,Seqs!$A:$B,2,0),S400,1),"")</f>
        <v/>
      </c>
      <c r="S400" s="9" t="s">
        <v>23</v>
      </c>
      <c r="T400" s="9" t="str">
        <f>IFERROR(MID(VLOOKUP($B400,Seqs!$A:$B,2,0),U400,1),"")</f>
        <v>V</v>
      </c>
      <c r="U400" s="9">
        <v>210</v>
      </c>
      <c r="V400" s="9" t="str">
        <f>IFERROR(MID(VLOOKUP($B400,Seqs!$A:$B,2,0),W400,1),"")</f>
        <v>V</v>
      </c>
      <c r="W400" s="9">
        <v>243</v>
      </c>
      <c r="X400" s="9" t="str">
        <f>IFERROR(MID(VLOOKUP($B400,Seqs!$A:$B,2,0),Y400,1),"")</f>
        <v/>
      </c>
      <c r="Y400" s="9" t="s">
        <v>23</v>
      </c>
      <c r="Z400" s="9" t="str">
        <f>IFERROR(MID(VLOOKUP($B400,Seqs!$A:$B,2,0),AA400,1),"")</f>
        <v/>
      </c>
      <c r="AA400" s="9" t="s">
        <v>23</v>
      </c>
      <c r="AB400" s="9" t="str">
        <f>IFERROR(MID(VLOOKUP($B400,Seqs!$A:$B,2,0),AC400,1),"")</f>
        <v>L</v>
      </c>
      <c r="AC400" s="9">
        <v>252</v>
      </c>
      <c r="AD400" s="9" t="str">
        <f>IFERROR(MID(VLOOKUP($B400,Seqs!$A:$B,2,0),AE400,1),"")</f>
        <v>Y</v>
      </c>
      <c r="AE400" s="9">
        <v>278</v>
      </c>
      <c r="AF400" s="9" t="str">
        <f>IFERROR(MID(VLOOKUP($B400,Seqs!$A:$B,2,0),AG400,1),"")</f>
        <v>C</v>
      </c>
      <c r="AG400" s="9">
        <v>282</v>
      </c>
      <c r="AH400" s="9" t="str">
        <f>IFERROR(MID(VLOOKUP($B400,Seqs!$A:$B,2,0),AI400,1),"")</f>
        <v>I</v>
      </c>
      <c r="AI400" s="9">
        <v>284</v>
      </c>
      <c r="AJ400" s="9" t="str">
        <f>IFERROR(MID(VLOOKUP($B400,Seqs!$A:$B,2,0),AK400,1),"")</f>
        <v>H</v>
      </c>
      <c r="AK400" s="9">
        <v>289</v>
      </c>
      <c r="AL400" s="9" t="str">
        <f>IFERROR(MID(VLOOKUP($B400,Seqs!$A:$B,2,0),AM400,1),"")</f>
        <v>K</v>
      </c>
      <c r="AM400" s="9">
        <v>321</v>
      </c>
      <c r="AN400" s="9" t="str">
        <f>IFERROR(MID(VLOOKUP($B400,Seqs!$A:$B,2,0),AO400,1),"")</f>
        <v>L</v>
      </c>
      <c r="AO400" s="9">
        <v>330</v>
      </c>
      <c r="AP400" s="9" t="str">
        <f>IFERROR(MID(VLOOKUP($B400,Seqs!$A:$B,2,0),AQ400,1),"")</f>
        <v>L</v>
      </c>
      <c r="AQ400" s="9">
        <v>351</v>
      </c>
      <c r="AR400" s="9" t="str">
        <f>IFERROR(MID(VLOOKUP($B400,Seqs!$A:$B,2,0),AS400,1),"")</f>
        <v>V</v>
      </c>
      <c r="AS400" s="9">
        <v>364</v>
      </c>
      <c r="AT400" s="9" t="str">
        <f>IFERROR(MID(VLOOKUP($B400,Seqs!$A:$B,2,0),AU400,1),"")</f>
        <v>F</v>
      </c>
      <c r="AU400" s="9">
        <v>387</v>
      </c>
      <c r="AV400" s="9" t="str">
        <f>IFERROR(MID(VLOOKUP($B400,Seqs!$A:$B,2,0),AW400,1),"")</f>
        <v>N</v>
      </c>
      <c r="AW400" s="9">
        <v>388</v>
      </c>
      <c r="AX400" s="9" t="str">
        <f>IFERROR(MID(VLOOKUP($B400,Seqs!$A:$B,2,0),AY400,1),"")</f>
        <v>W</v>
      </c>
      <c r="AY400" s="9">
        <v>399</v>
      </c>
      <c r="AZ400" s="110" t="str">
        <f>VLOOKUP(B400,Classification!A:D,2,0)</f>
        <v>B1</v>
      </c>
      <c r="BA400" s="98" t="str">
        <f>VLOOKUP(B400,Classification!A:D,4,0)</f>
        <v>Calcitonin</v>
      </c>
      <c r="BB400" s="36" t="b">
        <f t="shared" ref="BB400" si="3494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109">
        <f t="shared" ref="BC400" si="3495">_xlfn.AGGREGATE(9,6,CH400:CS400)-_xlfn.AGGREGATE(9,6,BV400:CG400)+12</f>
        <v>225</v>
      </c>
      <c r="BD400" s="11" t="s">
        <v>1369</v>
      </c>
      <c r="BE400" s="9" t="s">
        <v>1285</v>
      </c>
      <c r="BF400" s="119">
        <v>2.4</v>
      </c>
      <c r="BG400" s="51" t="s">
        <v>1416</v>
      </c>
      <c r="BH400" s="51" t="s">
        <v>1416</v>
      </c>
      <c r="BJ400" s="111" t="s">
        <v>1281</v>
      </c>
      <c r="BK400" s="112" t="s">
        <v>1281</v>
      </c>
      <c r="BL400" s="112" t="s">
        <v>1281</v>
      </c>
      <c r="BM400" s="112" t="s">
        <v>1281</v>
      </c>
      <c r="BN400" s="112" t="s">
        <v>1281</v>
      </c>
      <c r="BO400" s="112" t="s">
        <v>1281</v>
      </c>
      <c r="BP400" s="112" t="s">
        <v>1281</v>
      </c>
      <c r="BQ400" s="112" t="s">
        <v>1281</v>
      </c>
      <c r="BR400" s="112" t="s">
        <v>1281</v>
      </c>
      <c r="BS400" s="112" t="s">
        <v>1281</v>
      </c>
      <c r="BT400" s="112" t="s">
        <v>1281</v>
      </c>
      <c r="BU400" s="112" t="s">
        <v>1281</v>
      </c>
      <c r="BV400" s="111">
        <f t="shared" ref="BV400" si="3496">E400</f>
        <v>131</v>
      </c>
      <c r="BW400" s="113">
        <f t="shared" ref="BW400" si="3497">I400</f>
        <v>167</v>
      </c>
      <c r="BX400" s="114">
        <f t="shared" ref="BX400" si="3498">M400</f>
        <v>171</v>
      </c>
      <c r="BY400" s="113" t="str">
        <f t="shared" ref="BY400" si="3499">Q400</f>
        <v>-</v>
      </c>
      <c r="BZ400" s="114">
        <f t="shared" ref="BZ400" si="3500">U400</f>
        <v>210</v>
      </c>
      <c r="CA400" s="113" t="str">
        <f t="shared" ref="CA400" si="3501">Y400</f>
        <v>-</v>
      </c>
      <c r="CB400" s="114">
        <f t="shared" ref="CB400" si="3502">AC400</f>
        <v>252</v>
      </c>
      <c r="CC400" s="113">
        <f t="shared" ref="CC400" si="3503">AG400</f>
        <v>282</v>
      </c>
      <c r="CD400" s="114">
        <f t="shared" ref="CD400" si="3504">AK400</f>
        <v>289</v>
      </c>
      <c r="CE400" s="113">
        <f t="shared" ref="CE400" si="3505">AO400</f>
        <v>330</v>
      </c>
      <c r="CF400" s="114">
        <f t="shared" ref="CF400" si="3506">AS400</f>
        <v>364</v>
      </c>
      <c r="CG400" s="113">
        <f t="shared" ref="CG400" si="3507">AW400</f>
        <v>388</v>
      </c>
      <c r="CH400" s="111">
        <f t="shared" ref="CH400" si="3508">G400</f>
        <v>166</v>
      </c>
      <c r="CI400" s="113">
        <f t="shared" ref="CI400" si="3509">K400</f>
        <v>170</v>
      </c>
      <c r="CJ400" s="114">
        <f t="shared" ref="CJ400" si="3510">O400</f>
        <v>198</v>
      </c>
      <c r="CK400" s="114" t="str">
        <f t="shared" ref="CK400" si="3511">S400</f>
        <v>-</v>
      </c>
      <c r="CL400" s="114">
        <f t="shared" ref="CL400" si="3512">W400</f>
        <v>243</v>
      </c>
      <c r="CM400" s="114" t="str">
        <f t="shared" ref="CM400" si="3513">AA400</f>
        <v>-</v>
      </c>
      <c r="CN400" s="114">
        <f t="shared" ref="CN400" si="3514">AE400</f>
        <v>278</v>
      </c>
      <c r="CO400" s="114">
        <f t="shared" ref="CO400" si="3515">AI400</f>
        <v>284</v>
      </c>
      <c r="CP400" s="114">
        <f t="shared" ref="CP400" si="3516">AM400</f>
        <v>321</v>
      </c>
      <c r="CQ400" s="114">
        <f t="shared" ref="CQ400" si="3517">AQ400</f>
        <v>351</v>
      </c>
      <c r="CR400" s="114">
        <f t="shared" ref="CR400" si="3518">AU400</f>
        <v>387</v>
      </c>
      <c r="CS400" s="114">
        <f t="shared" ref="CS400" si="3519">AY400</f>
        <v>399</v>
      </c>
      <c r="CT400" s="109">
        <f t="shared" ref="CT400" si="3520">M400-K400</f>
        <v>1</v>
      </c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28"/>
      <c r="FA400" s="128"/>
      <c r="FB400" s="128"/>
      <c r="FC400" s="128"/>
      <c r="FD400" s="128"/>
      <c r="FE400" s="128"/>
      <c r="FF400" s="128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  <c r="GW400" s="128"/>
      <c r="GX400" s="128"/>
      <c r="GY400" s="128"/>
      <c r="GZ400" s="128"/>
      <c r="HA400" s="128"/>
      <c r="HB400" s="128"/>
      <c r="HC400" s="128"/>
      <c r="HD400" s="128"/>
      <c r="HE400" s="128"/>
      <c r="HF400" s="128"/>
      <c r="HG400" s="128"/>
      <c r="HH400" s="128"/>
      <c r="HI400" s="128"/>
      <c r="HJ400" s="128"/>
      <c r="HK400" s="128"/>
      <c r="HL400" s="128"/>
      <c r="HM400" s="128"/>
      <c r="HN400" s="128"/>
      <c r="HO400" s="128"/>
      <c r="HP400" s="128"/>
      <c r="HQ400" s="128"/>
      <c r="HR400" s="128"/>
      <c r="HS400" s="128"/>
      <c r="HT400" s="128"/>
      <c r="HU400" s="128"/>
      <c r="HV400" s="128"/>
      <c r="HW400" s="128"/>
      <c r="HX400" s="128"/>
      <c r="HY400" s="128"/>
      <c r="HZ400" s="128"/>
      <c r="IA400" s="128"/>
      <c r="IB400" s="128"/>
      <c r="IC400" s="128"/>
      <c r="ID400" s="128"/>
      <c r="IE400" s="128"/>
      <c r="IF400" s="128"/>
      <c r="IG400" s="128"/>
      <c r="IH400" s="128"/>
      <c r="II400" s="128"/>
      <c r="IJ400" s="128"/>
      <c r="IK400" s="128"/>
      <c r="IL400" s="128"/>
      <c r="IM400" s="128"/>
      <c r="IN400" s="128"/>
      <c r="IO400" s="128"/>
      <c r="IP400" s="128"/>
      <c r="IQ400" s="128"/>
      <c r="IR400" s="128"/>
      <c r="IS400" s="128"/>
      <c r="IT400" s="128"/>
      <c r="IU400" s="128"/>
      <c r="IV400" s="128"/>
      <c r="IW400" s="128"/>
      <c r="IX400" s="128"/>
      <c r="IY400" s="128"/>
      <c r="IZ400" s="128"/>
      <c r="JA400" s="128"/>
      <c r="JB400" s="128"/>
      <c r="JC400" s="128"/>
      <c r="JD400" s="128"/>
      <c r="JE400" s="128"/>
      <c r="JF400" s="128"/>
      <c r="JG400" s="128"/>
      <c r="JH400" s="128"/>
      <c r="JI400" s="128"/>
      <c r="JJ400" s="128"/>
      <c r="JK400" s="128"/>
      <c r="JL400" s="128"/>
      <c r="JM400" s="128"/>
      <c r="JN400" s="128"/>
      <c r="JO400" s="128"/>
      <c r="JP400" s="128"/>
      <c r="JQ400" s="128"/>
      <c r="JR400" s="128"/>
      <c r="JS400" s="128"/>
      <c r="JT400" s="128"/>
      <c r="JU400" s="128"/>
      <c r="JV400" s="128"/>
      <c r="JW400" s="128"/>
      <c r="JX400" s="128"/>
      <c r="JY400" s="128"/>
      <c r="JZ400" s="128"/>
      <c r="KA400" s="128"/>
      <c r="KB400" s="128"/>
      <c r="KC400" s="128"/>
      <c r="KD400" s="128"/>
      <c r="KE400" s="128"/>
      <c r="KF400" s="128"/>
      <c r="KG400" s="128"/>
      <c r="KH400" s="128"/>
      <c r="KI400" s="128"/>
      <c r="KJ400" s="128"/>
      <c r="KK400" s="128"/>
      <c r="KL400" s="128"/>
      <c r="KM400" s="128"/>
      <c r="KN400" s="128"/>
      <c r="KO400" s="128"/>
      <c r="KP400" s="128"/>
      <c r="KQ400" s="128"/>
      <c r="KR400" s="128"/>
      <c r="KS400" s="128"/>
      <c r="KT400" s="128"/>
      <c r="KU400" s="128"/>
      <c r="KV400" s="128"/>
      <c r="KW400" s="128"/>
      <c r="KX400" s="128"/>
      <c r="KY400" s="128"/>
      <c r="KZ400" s="128"/>
      <c r="LA400" s="128"/>
      <c r="LB400" s="128"/>
      <c r="LC400" s="128"/>
      <c r="LD400" s="128"/>
      <c r="LE400" s="128"/>
      <c r="LF400" s="128"/>
      <c r="LG400" s="128"/>
      <c r="LH400" s="128"/>
      <c r="LI400" s="128"/>
      <c r="LJ400" s="128"/>
      <c r="LK400" s="128"/>
      <c r="LL400" s="128"/>
      <c r="LM400" s="128"/>
      <c r="LN400" s="128"/>
      <c r="LO400" s="128"/>
      <c r="LP400" s="128"/>
      <c r="LQ400" s="128"/>
      <c r="LR400" s="128"/>
      <c r="LS400" s="128"/>
      <c r="LT400" s="128"/>
      <c r="LU400" s="128"/>
      <c r="LV400" s="128"/>
      <c r="LW400" s="128"/>
      <c r="LX400" s="128"/>
      <c r="LY400" s="128"/>
      <c r="LZ400" s="128"/>
      <c r="MA400" s="128"/>
      <c r="MB400" s="128"/>
      <c r="MC400" s="128"/>
      <c r="MD400" s="128"/>
      <c r="ME400" s="128"/>
      <c r="MF400" s="128"/>
      <c r="MG400" s="128"/>
      <c r="MH400" s="128"/>
      <c r="MI400" s="128"/>
      <c r="MJ400" s="128"/>
      <c r="MK400" s="128"/>
      <c r="ML400" s="128"/>
      <c r="MM400" s="128"/>
      <c r="MN400" s="128"/>
      <c r="MO400" s="128"/>
      <c r="MP400" s="128"/>
      <c r="MQ400" s="128"/>
      <c r="MR400" s="128"/>
      <c r="MS400" s="128"/>
      <c r="MT400" s="128"/>
      <c r="MU400" s="128"/>
      <c r="MV400" s="128"/>
      <c r="MW400" s="128"/>
      <c r="MX400" s="128"/>
      <c r="MY400" s="128"/>
      <c r="MZ400" s="128"/>
      <c r="NA400" s="128"/>
      <c r="NB400" s="128"/>
      <c r="NC400" s="128"/>
      <c r="ND400" s="128"/>
      <c r="NE400" s="128"/>
      <c r="NF400" s="128"/>
      <c r="NG400" s="128"/>
      <c r="NH400" s="128"/>
      <c r="NI400" s="128"/>
      <c r="NJ400" s="128"/>
      <c r="NK400" s="128"/>
      <c r="NL400" s="128"/>
      <c r="NM400" s="128"/>
      <c r="NN400" s="128"/>
      <c r="NO400" s="128"/>
      <c r="NP400" s="128"/>
      <c r="NQ400" s="128"/>
      <c r="NR400" s="128"/>
      <c r="NS400" s="128"/>
      <c r="NT400" s="128"/>
      <c r="NU400" s="128"/>
      <c r="NV400" s="128"/>
      <c r="NW400" s="128"/>
      <c r="NX400" s="128"/>
      <c r="NY400" s="128"/>
      <c r="NZ400" s="128"/>
      <c r="OA400" s="128"/>
      <c r="OB400" s="128"/>
      <c r="OC400" s="128"/>
      <c r="OD400" s="128"/>
      <c r="OE400" s="128"/>
      <c r="OF400" s="128"/>
      <c r="OG400" s="128"/>
      <c r="OH400" s="128"/>
      <c r="OI400" s="128"/>
      <c r="OJ400" s="128"/>
      <c r="OK400" s="128"/>
      <c r="OL400" s="128"/>
      <c r="OM400" s="128"/>
      <c r="ON400" s="128"/>
      <c r="OO400" s="128"/>
      <c r="OP400" s="128"/>
      <c r="OQ400" s="128"/>
      <c r="OR400" s="128"/>
      <c r="OS400" s="128"/>
      <c r="OT400" s="128"/>
      <c r="OU400" s="128"/>
      <c r="OV400" s="128"/>
      <c r="OW400" s="128"/>
      <c r="OX400" s="128"/>
      <c r="OY400" s="128"/>
      <c r="OZ400" s="128"/>
      <c r="PA400" s="128"/>
      <c r="PB400" s="128"/>
      <c r="PC400" s="128"/>
      <c r="PD400" s="128"/>
      <c r="PE400" s="128"/>
      <c r="PF400" s="128"/>
      <c r="PG400" s="128"/>
      <c r="PH400" s="128"/>
      <c r="PI400" s="128"/>
      <c r="PJ400" s="128"/>
      <c r="PK400" s="128"/>
      <c r="PL400" s="128"/>
      <c r="PM400" s="128"/>
      <c r="PN400" s="128"/>
      <c r="PO400" s="128"/>
      <c r="PP400" s="128"/>
      <c r="PQ400" s="128"/>
      <c r="PR400" s="128"/>
      <c r="PS400" s="128"/>
      <c r="PT400" s="128"/>
      <c r="PU400" s="128"/>
      <c r="PV400" s="128"/>
      <c r="PW400" s="128"/>
      <c r="PX400" s="128"/>
      <c r="PY400" s="128"/>
      <c r="PZ400" s="128"/>
      <c r="QA400" s="128"/>
      <c r="QB400" s="128"/>
      <c r="QC400" s="128"/>
      <c r="QD400" s="128"/>
      <c r="QE400" s="128"/>
      <c r="QF400" s="128"/>
      <c r="QG400" s="128"/>
      <c r="QH400" s="128"/>
      <c r="QI400" s="128"/>
      <c r="QJ400" s="128"/>
      <c r="QK400" s="128"/>
      <c r="QL400" s="128"/>
      <c r="QM400" s="128"/>
      <c r="QN400" s="128"/>
      <c r="QO400" s="128"/>
      <c r="QP400" s="128"/>
      <c r="QQ400" s="128"/>
      <c r="QR400" s="128"/>
      <c r="QS400" s="128"/>
      <c r="QT400" s="128"/>
      <c r="QU400" s="128"/>
      <c r="QV400" s="128"/>
      <c r="QW400" s="128"/>
      <c r="QX400" s="128"/>
      <c r="QY400" s="128"/>
      <c r="QZ400" s="128"/>
      <c r="RA400" s="128"/>
      <c r="RB400" s="128"/>
      <c r="RC400" s="128"/>
      <c r="RD400" s="128"/>
      <c r="RE400" s="128"/>
      <c r="RF400" s="128"/>
      <c r="RG400" s="128"/>
      <c r="RH400" s="128"/>
      <c r="RI400" s="128"/>
      <c r="RJ400" s="128"/>
      <c r="RK400" s="128"/>
      <c r="RL400" s="128"/>
      <c r="RM400" s="128"/>
      <c r="RN400" s="128"/>
      <c r="RO400" s="128"/>
      <c r="RP400" s="128"/>
      <c r="RQ400" s="128"/>
      <c r="RR400" s="128"/>
      <c r="RS400" s="128"/>
      <c r="RT400" s="128"/>
      <c r="RU400" s="128"/>
      <c r="RV400" s="128"/>
      <c r="RW400" s="128"/>
      <c r="RX400" s="128"/>
      <c r="RY400" s="128"/>
      <c r="RZ400" s="128"/>
      <c r="SA400" s="128"/>
      <c r="SB400" s="128"/>
      <c r="SC400" s="128"/>
      <c r="SD400" s="128"/>
      <c r="SE400" s="128"/>
      <c r="SF400" s="128"/>
      <c r="SG400" s="128"/>
      <c r="SH400" s="128"/>
      <c r="SI400" s="128"/>
      <c r="SJ400" s="128"/>
      <c r="SK400" s="128"/>
      <c r="SL400" s="128"/>
      <c r="SM400" s="128"/>
      <c r="SN400" s="128"/>
      <c r="SO400" s="128"/>
      <c r="SP400" s="128"/>
      <c r="SQ400" s="128"/>
      <c r="SR400" s="128"/>
      <c r="SS400" s="128"/>
      <c r="ST400" s="128"/>
      <c r="SU400" s="128"/>
      <c r="SV400" s="128"/>
      <c r="SW400" s="128"/>
      <c r="SX400" s="128"/>
      <c r="SY400" s="128"/>
      <c r="SZ400" s="128"/>
      <c r="TA400" s="128"/>
      <c r="TB400" s="128"/>
      <c r="TC400" s="128"/>
      <c r="TD400" s="128"/>
      <c r="TE400" s="128"/>
      <c r="TF400" s="128"/>
      <c r="TG400" s="128"/>
      <c r="TH400" s="128"/>
      <c r="TI400" s="128"/>
      <c r="TJ400" s="128"/>
      <c r="TK400" s="128"/>
      <c r="TL400" s="128"/>
      <c r="TM400" s="128"/>
      <c r="TN400" s="128"/>
      <c r="TO400" s="128"/>
      <c r="TP400" s="128"/>
      <c r="TQ400" s="128"/>
      <c r="TR400" s="128"/>
      <c r="TS400" s="128"/>
      <c r="TT400" s="128"/>
      <c r="TU400" s="128"/>
      <c r="TV400" s="128"/>
      <c r="TW400" s="128"/>
      <c r="TX400" s="128"/>
      <c r="TY400" s="128"/>
      <c r="TZ400" s="128"/>
      <c r="UA400" s="128"/>
      <c r="UB400" s="128"/>
      <c r="UC400" s="128"/>
      <c r="UD400" s="128"/>
      <c r="UE400" s="128"/>
      <c r="UF400" s="128"/>
      <c r="UG400" s="128"/>
      <c r="UH400" s="128"/>
      <c r="UI400" s="128"/>
      <c r="UJ400" s="128"/>
      <c r="UK400" s="128"/>
      <c r="UL400" s="128"/>
      <c r="UM400" s="128"/>
      <c r="UN400" s="128"/>
      <c r="UO400" s="128"/>
      <c r="UP400" s="128"/>
      <c r="UQ400" s="128"/>
      <c r="UR400" s="128"/>
      <c r="US400" s="128"/>
      <c r="UT400" s="128"/>
      <c r="UU400" s="128"/>
      <c r="UV400" s="128"/>
      <c r="UW400" s="128"/>
      <c r="UX400" s="128"/>
      <c r="UY400" s="128"/>
      <c r="UZ400" s="128"/>
      <c r="VA400" s="128"/>
      <c r="VB400" s="128"/>
      <c r="VC400" s="128"/>
      <c r="VD400" s="128"/>
      <c r="VE400" s="128"/>
      <c r="VF400" s="128"/>
      <c r="VG400" s="128"/>
      <c r="VH400" s="128"/>
      <c r="VI400" s="128"/>
      <c r="VJ400" s="128"/>
      <c r="VK400" s="128"/>
      <c r="VL400" s="128"/>
      <c r="VM400" s="128"/>
      <c r="VN400" s="128"/>
      <c r="VO400" s="128"/>
      <c r="VP400" s="128"/>
      <c r="VQ400" s="128"/>
      <c r="VR400" s="128"/>
      <c r="VS400" s="128"/>
      <c r="VT400" s="128"/>
      <c r="VU400" s="128"/>
      <c r="VV400" s="128"/>
      <c r="VW400" s="128"/>
      <c r="VX400" s="128"/>
      <c r="VY400" s="128"/>
      <c r="VZ400" s="128"/>
      <c r="WA400" s="128"/>
      <c r="WB400" s="128"/>
      <c r="WC400" s="128"/>
      <c r="WD400" s="128"/>
      <c r="WE400" s="128"/>
      <c r="WF400" s="128"/>
      <c r="WG400" s="128"/>
      <c r="WH400" s="128"/>
      <c r="WI400" s="128"/>
      <c r="WJ400" s="128"/>
      <c r="WK400" s="128"/>
      <c r="WL400" s="128"/>
      <c r="WM400" s="128"/>
      <c r="WN400" s="128"/>
      <c r="WO400" s="128"/>
      <c r="WP400" s="128"/>
      <c r="WQ400" s="128"/>
      <c r="WR400" s="128"/>
      <c r="WS400" s="128"/>
      <c r="WT400" s="128"/>
      <c r="WU400" s="128"/>
      <c r="WV400" s="128"/>
      <c r="WW400" s="128"/>
      <c r="WX400" s="128"/>
      <c r="WY400" s="128"/>
      <c r="WZ400" s="128"/>
      <c r="XA400" s="128"/>
      <c r="XB400" s="128"/>
      <c r="XC400" s="128"/>
      <c r="XD400" s="128"/>
      <c r="XE400" s="128"/>
      <c r="XF400" s="128"/>
      <c r="XG400" s="128"/>
      <c r="XH400" s="128"/>
      <c r="XI400" s="128"/>
      <c r="XJ400" s="128"/>
      <c r="XK400" s="128"/>
      <c r="XL400" s="128"/>
      <c r="XM400" s="128"/>
      <c r="XN400" s="128"/>
      <c r="XO400" s="128"/>
      <c r="XP400" s="128"/>
      <c r="XQ400" s="128"/>
      <c r="XR400" s="128"/>
      <c r="XS400" s="128"/>
      <c r="XT400" s="128"/>
      <c r="XU400" s="128"/>
      <c r="XV400" s="128"/>
      <c r="XW400" s="128"/>
      <c r="XX400" s="128"/>
      <c r="XY400" s="128"/>
      <c r="XZ400" s="128"/>
      <c r="YA400" s="128"/>
      <c r="YB400" s="128"/>
      <c r="YC400" s="128"/>
      <c r="YD400" s="128"/>
      <c r="YE400" s="128"/>
      <c r="YF400" s="128"/>
      <c r="YG400" s="128"/>
      <c r="YH400" s="128"/>
      <c r="YI400" s="128"/>
      <c r="YJ400" s="128"/>
      <c r="YK400" s="128"/>
      <c r="YL400" s="128"/>
      <c r="YM400" s="128"/>
      <c r="YN400" s="128"/>
      <c r="YO400" s="128"/>
      <c r="YP400" s="128"/>
      <c r="YQ400" s="128"/>
      <c r="YR400" s="128"/>
      <c r="YS400" s="128"/>
      <c r="YT400" s="128"/>
      <c r="YU400" s="128"/>
      <c r="YV400" s="128"/>
      <c r="YW400" s="128"/>
      <c r="YX400" s="128"/>
      <c r="YY400" s="128"/>
      <c r="YZ400" s="128"/>
      <c r="ZA400" s="128"/>
      <c r="ZB400" s="128"/>
      <c r="ZC400" s="128"/>
      <c r="ZD400" s="128"/>
      <c r="ZE400" s="128"/>
      <c r="ZF400" s="128"/>
      <c r="ZG400" s="128"/>
      <c r="ZH400" s="128"/>
      <c r="ZI400" s="128"/>
      <c r="ZJ400" s="128"/>
      <c r="ZK400" s="128"/>
      <c r="ZL400" s="128"/>
      <c r="ZM400" s="128"/>
      <c r="ZN400" s="128"/>
      <c r="ZO400" s="128"/>
      <c r="ZP400" s="128"/>
      <c r="ZQ400" s="128"/>
      <c r="ZR400" s="128"/>
      <c r="ZS400" s="128"/>
      <c r="ZT400" s="128"/>
      <c r="ZU400" s="128"/>
      <c r="ZV400" s="128"/>
      <c r="ZW400" s="128"/>
      <c r="ZX400" s="128"/>
      <c r="ZY400" s="128"/>
      <c r="ZZ400" s="128"/>
      <c r="AAA400" s="128"/>
      <c r="AAB400" s="128"/>
      <c r="AAC400" s="128"/>
      <c r="AAD400" s="128"/>
      <c r="AAE400" s="128"/>
      <c r="AAF400" s="128"/>
      <c r="AAG400" s="128"/>
      <c r="AAH400" s="128"/>
      <c r="AAI400" s="128"/>
      <c r="AAJ400" s="128"/>
      <c r="AAK400" s="128"/>
      <c r="AAL400" s="128"/>
      <c r="AAM400" s="128"/>
      <c r="AAN400" s="128"/>
      <c r="AAO400" s="128"/>
      <c r="AAP400" s="128"/>
      <c r="AAQ400" s="128"/>
      <c r="AAR400" s="128"/>
      <c r="AAS400" s="128"/>
      <c r="AAT400" s="128"/>
      <c r="AAU400" s="128"/>
      <c r="AAV400" s="128"/>
      <c r="AAW400" s="128"/>
      <c r="AAX400" s="128"/>
      <c r="AAY400" s="128"/>
      <c r="AAZ400" s="128"/>
      <c r="ABA400" s="128"/>
      <c r="ABB400" s="128"/>
      <c r="ABC400" s="128"/>
      <c r="ABD400" s="128"/>
      <c r="ABE400" s="128"/>
      <c r="ABF400" s="128"/>
      <c r="ABG400" s="128"/>
      <c r="ABH400" s="128"/>
      <c r="ABI400" s="128"/>
      <c r="ABJ400" s="128"/>
      <c r="ABK400" s="128"/>
      <c r="ABL400" s="128"/>
      <c r="ABM400" s="128"/>
      <c r="ABN400" s="128"/>
      <c r="ABO400" s="128"/>
      <c r="ABP400" s="128"/>
      <c r="ABQ400" s="128"/>
      <c r="ABR400" s="128"/>
      <c r="ABS400" s="128"/>
      <c r="ABT400" s="128"/>
      <c r="ABU400" s="128"/>
      <c r="ABV400" s="128"/>
      <c r="ABW400" s="128"/>
      <c r="ABX400" s="128"/>
      <c r="ABY400" s="128"/>
      <c r="ABZ400" s="128"/>
      <c r="ACA400" s="128"/>
      <c r="ACB400" s="128"/>
      <c r="ACC400" s="128"/>
      <c r="ACD400" s="128"/>
      <c r="ACE400" s="128"/>
      <c r="ACF400" s="128"/>
      <c r="ACG400" s="128"/>
      <c r="ACH400" s="128"/>
      <c r="ACI400" s="128"/>
      <c r="ACJ400" s="128"/>
      <c r="ACK400" s="128"/>
      <c r="ACL400" s="128"/>
      <c r="ACM400" s="128"/>
      <c r="ACN400" s="128"/>
      <c r="ACO400" s="128"/>
      <c r="ACP400" s="128"/>
      <c r="ACQ400" s="128"/>
      <c r="ACR400" s="128"/>
      <c r="ACS400" s="128"/>
      <c r="ACT400" s="128"/>
      <c r="ACU400" s="128"/>
      <c r="ACV400" s="128"/>
      <c r="ACW400" s="128"/>
      <c r="ACX400" s="128"/>
      <c r="ACY400" s="128"/>
      <c r="ACZ400" s="128"/>
      <c r="ADA400" s="128"/>
      <c r="ADB400" s="128"/>
      <c r="ADC400" s="128"/>
      <c r="ADD400" s="128"/>
      <c r="ADE400" s="128"/>
      <c r="ADF400" s="128"/>
      <c r="ADG400" s="128"/>
      <c r="ADH400" s="128"/>
      <c r="ADI400" s="128"/>
      <c r="ADJ400" s="128"/>
      <c r="ADK400" s="128"/>
      <c r="ADL400" s="128"/>
      <c r="ADM400" s="128"/>
      <c r="ADN400" s="128"/>
      <c r="ADO400" s="128"/>
      <c r="ADP400" s="128"/>
      <c r="ADQ400" s="128"/>
      <c r="ADR400" s="128"/>
      <c r="ADS400" s="128"/>
      <c r="ADT400" s="128"/>
      <c r="ADU400" s="128"/>
      <c r="ADV400" s="128"/>
      <c r="ADW400" s="128"/>
      <c r="ADX400" s="128"/>
      <c r="ADY400" s="128"/>
      <c r="ADZ400" s="128"/>
      <c r="AEA400" s="128"/>
      <c r="AEB400" s="128"/>
      <c r="AEC400" s="128"/>
      <c r="AED400" s="128"/>
      <c r="AEE400" s="128"/>
      <c r="AEF400" s="128"/>
      <c r="AEG400" s="128"/>
      <c r="AEH400" s="128"/>
      <c r="AEI400" s="128"/>
      <c r="AEJ400" s="128"/>
      <c r="AEK400" s="128"/>
      <c r="AEL400" s="128"/>
      <c r="AEM400" s="128"/>
      <c r="AEN400" s="128"/>
      <c r="AEO400" s="128"/>
      <c r="AEP400" s="128"/>
      <c r="AEQ400" s="128"/>
      <c r="AER400" s="128"/>
      <c r="AES400" s="128"/>
      <c r="AET400" s="128"/>
      <c r="AEU400" s="128"/>
      <c r="AEV400" s="128"/>
      <c r="AEW400" s="128"/>
      <c r="AEX400" s="128"/>
      <c r="AEY400" s="128"/>
      <c r="AEZ400" s="128"/>
      <c r="AFA400" s="128"/>
      <c r="AFB400" s="128"/>
      <c r="AFC400" s="128"/>
      <c r="AFD400" s="128"/>
      <c r="AFE400" s="128"/>
      <c r="AFF400" s="128"/>
      <c r="AFG400" s="128"/>
      <c r="AFH400" s="128"/>
      <c r="AFI400" s="128"/>
      <c r="AFJ400" s="128"/>
      <c r="AFK400" s="128"/>
      <c r="AFL400" s="128"/>
      <c r="AFM400" s="128"/>
      <c r="AFN400" s="128"/>
      <c r="AFO400" s="128"/>
      <c r="AFP400" s="128"/>
      <c r="AFQ400" s="128"/>
      <c r="AFR400" s="128"/>
      <c r="AFS400" s="128"/>
      <c r="AFT400" s="128"/>
      <c r="AFU400" s="128"/>
      <c r="AFV400" s="128"/>
      <c r="AFW400" s="128"/>
      <c r="AFX400" s="128"/>
      <c r="AFY400" s="128"/>
      <c r="AFZ400" s="128"/>
      <c r="AGA400" s="128"/>
      <c r="AGB400" s="128"/>
      <c r="AGC400" s="128"/>
      <c r="AGD400" s="128"/>
      <c r="AGE400" s="128"/>
      <c r="AGF400" s="128"/>
      <c r="AGG400" s="128"/>
      <c r="AGH400" s="128"/>
      <c r="AGI400" s="128"/>
      <c r="AGJ400" s="128"/>
      <c r="AGK400" s="128"/>
      <c r="AGL400" s="128"/>
      <c r="AGM400" s="128"/>
      <c r="AGN400" s="128"/>
      <c r="AGO400" s="128"/>
      <c r="AGP400" s="128"/>
      <c r="AGQ400" s="128"/>
      <c r="AGR400" s="128"/>
      <c r="AGS400" s="128"/>
      <c r="AGT400" s="128"/>
      <c r="AGU400" s="128"/>
      <c r="AGV400" s="128"/>
      <c r="AGW400" s="128"/>
      <c r="AGX400" s="128"/>
      <c r="AGY400" s="128"/>
      <c r="AGZ400" s="128"/>
      <c r="AHA400" s="128"/>
      <c r="AHB400" s="128"/>
      <c r="AHC400" s="128"/>
      <c r="AHD400" s="128"/>
      <c r="AHE400" s="128"/>
      <c r="AHF400" s="128"/>
      <c r="AHG400" s="128"/>
      <c r="AHH400" s="128"/>
      <c r="AHI400" s="128"/>
      <c r="AHJ400" s="128"/>
      <c r="AHK400" s="128"/>
      <c r="AHL400" s="128"/>
      <c r="AHM400" s="128"/>
      <c r="AHN400" s="128"/>
      <c r="AHO400" s="128"/>
      <c r="AHP400" s="128"/>
      <c r="AHQ400" s="128"/>
      <c r="AHR400" s="128"/>
      <c r="AHS400" s="128"/>
      <c r="AHT400" s="128"/>
      <c r="AHU400" s="128"/>
      <c r="AHV400" s="128"/>
      <c r="AHW400" s="128"/>
      <c r="AHX400" s="128"/>
      <c r="AHY400" s="128"/>
      <c r="AHZ400" s="128"/>
      <c r="AIA400" s="128"/>
      <c r="AIB400" s="128"/>
      <c r="AIC400" s="128"/>
      <c r="AID400" s="128"/>
      <c r="AIE400" s="128"/>
      <c r="AIF400" s="128"/>
      <c r="AIG400" s="128"/>
      <c r="AIH400" s="128"/>
      <c r="AII400" s="128"/>
      <c r="AIJ400" s="128"/>
      <c r="AIK400" s="128"/>
      <c r="AIL400" s="128"/>
      <c r="AIM400" s="128"/>
      <c r="AIN400" s="128"/>
      <c r="AIO400" s="128"/>
      <c r="AIP400" s="128"/>
      <c r="AIQ400" s="128"/>
      <c r="AIR400" s="128"/>
      <c r="AIS400" s="128"/>
      <c r="AIT400" s="128"/>
      <c r="AIU400" s="128"/>
      <c r="AIV400" s="128"/>
      <c r="AIW400" s="128"/>
      <c r="AIX400" s="128"/>
      <c r="AIY400" s="128"/>
      <c r="AIZ400" s="128"/>
      <c r="AJA400" s="128"/>
      <c r="AJB400" s="128"/>
      <c r="AJC400" s="128"/>
      <c r="AJD400" s="128"/>
      <c r="AJE400" s="128"/>
      <c r="AJF400" s="128"/>
      <c r="AJG400" s="128"/>
      <c r="AJH400" s="128"/>
      <c r="AJI400" s="128"/>
      <c r="AJJ400" s="128"/>
      <c r="AJK400" s="128"/>
      <c r="AJL400" s="128"/>
      <c r="AJM400" s="128"/>
      <c r="AJN400" s="128"/>
      <c r="AJO400" s="128"/>
      <c r="AJP400" s="128"/>
      <c r="AJQ400" s="128"/>
      <c r="AJR400" s="128"/>
      <c r="AJS400" s="128"/>
      <c r="AJT400" s="128"/>
      <c r="AJU400" s="128"/>
      <c r="AJV400" s="128"/>
      <c r="AJW400" s="128"/>
      <c r="AJX400" s="128"/>
      <c r="AJY400" s="128"/>
      <c r="AJZ400" s="128"/>
      <c r="AKA400" s="128"/>
      <c r="AKB400" s="128"/>
      <c r="AKC400" s="128"/>
      <c r="AKD400" s="128"/>
      <c r="AKE400" s="128"/>
      <c r="AKF400" s="128"/>
      <c r="AKG400" s="128"/>
      <c r="AKH400" s="128"/>
      <c r="AKI400" s="128"/>
      <c r="AKJ400" s="128"/>
      <c r="AKK400" s="128"/>
      <c r="AKL400" s="128"/>
      <c r="AKM400" s="128"/>
      <c r="AKN400" s="128"/>
      <c r="AKO400" s="128"/>
      <c r="AKP400" s="128"/>
      <c r="AKQ400" s="128"/>
      <c r="AKR400" s="128"/>
      <c r="AKS400" s="128"/>
      <c r="AKT400" s="128"/>
      <c r="AKU400" s="128"/>
      <c r="AKV400" s="128"/>
      <c r="AKW400" s="128"/>
      <c r="AKX400" s="128"/>
      <c r="AKY400" s="128"/>
      <c r="AKZ400" s="128"/>
      <c r="ALA400" s="128"/>
      <c r="ALB400" s="128"/>
      <c r="ALC400" s="128"/>
      <c r="ALD400" s="128"/>
      <c r="ALE400" s="128"/>
      <c r="ALF400" s="128"/>
      <c r="ALG400" s="128"/>
      <c r="ALH400" s="128"/>
      <c r="ALI400" s="128"/>
      <c r="ALJ400" s="128"/>
      <c r="ALK400" s="128"/>
      <c r="ALL400" s="128"/>
      <c r="ALM400" s="128"/>
      <c r="ALN400" s="128"/>
      <c r="ALO400" s="128"/>
      <c r="ALP400" s="128"/>
      <c r="ALQ400" s="128"/>
      <c r="ALR400" s="128"/>
      <c r="ALS400" s="128"/>
      <c r="ALT400" s="128"/>
      <c r="ALU400" s="128"/>
      <c r="ALV400" s="128"/>
      <c r="ALW400" s="128"/>
      <c r="ALX400" s="128"/>
      <c r="ALY400" s="128"/>
      <c r="ALZ400" s="128"/>
      <c r="AMA400" s="128"/>
      <c r="AMB400" s="128"/>
      <c r="AMC400" s="128"/>
      <c r="AMD400" s="128"/>
      <c r="AME400" s="128"/>
      <c r="AMF400" s="128"/>
      <c r="AMG400" s="128"/>
      <c r="AMH400" s="128"/>
      <c r="AMI400" s="128"/>
      <c r="AMJ400" s="128"/>
      <c r="AMK400" s="128"/>
      <c r="AML400" s="128"/>
      <c r="AMM400" s="128"/>
      <c r="AMN400" s="128"/>
      <c r="AMO400" s="128"/>
      <c r="AMP400" s="128"/>
    </row>
    <row r="401" spans="1:1030" s="12" customFormat="1" x14ac:dyDescent="0.2">
      <c r="A401" s="9" t="str">
        <f t="shared" ref="A401" si="3521">CONCATENATE(B401,"_",C401)</f>
        <v>calrl_human_6UVA</v>
      </c>
      <c r="B401" s="40" t="s">
        <v>401</v>
      </c>
      <c r="C401" s="9" t="s">
        <v>1668</v>
      </c>
      <c r="D401" s="9" t="str">
        <f>IFERROR(MID(VLOOKUP($B401,Seqs!$A:$B,2,0),E401,1),"")</f>
        <v>T</v>
      </c>
      <c r="E401" s="9">
        <v>131</v>
      </c>
      <c r="F401" s="9" t="str">
        <f>IFERROR(MID(VLOOKUP($B401,Seqs!$A:$B,2,0),G401,1),"")</f>
        <v>F</v>
      </c>
      <c r="G401" s="9">
        <v>166</v>
      </c>
      <c r="H401" s="9" t="str">
        <f>IFERROR(MID(VLOOKUP($B401,Seqs!$A:$B,2,0),I401,1),"")</f>
        <v>K</v>
      </c>
      <c r="I401" s="109">
        <v>167</v>
      </c>
      <c r="J401" s="9" t="str">
        <f>IFERROR(MID(VLOOKUP($B401,Seqs!$A:$B,2,0),K401,1),"")</f>
        <v>S</v>
      </c>
      <c r="K401" s="109">
        <v>170</v>
      </c>
      <c r="L401" s="9" t="str">
        <f>IFERROR(MID(VLOOKUP($B401,Seqs!$A:$B,2,0),M401,1),"")</f>
        <v>C</v>
      </c>
      <c r="M401" s="9">
        <v>171</v>
      </c>
      <c r="N401" s="9" t="str">
        <f>IFERROR(MID(VLOOKUP($B401,Seqs!$A:$B,2,0),O401,1),"")</f>
        <v>V</v>
      </c>
      <c r="O401" s="9">
        <v>198</v>
      </c>
      <c r="P401" s="9" t="str">
        <f>IFERROR(MID(VLOOKUP($B401,Seqs!$A:$B,2,0),Q401,1),"")</f>
        <v/>
      </c>
      <c r="Q401" s="9" t="s">
        <v>23</v>
      </c>
      <c r="R401" s="9" t="str">
        <f>IFERROR(MID(VLOOKUP($B401,Seqs!$A:$B,2,0),S401,1),"")</f>
        <v/>
      </c>
      <c r="S401" s="9" t="s">
        <v>23</v>
      </c>
      <c r="T401" s="9" t="str">
        <f>IFERROR(MID(VLOOKUP($B401,Seqs!$A:$B,2,0),U401,1),"")</f>
        <v>V</v>
      </c>
      <c r="U401" s="9">
        <v>210</v>
      </c>
      <c r="V401" s="9" t="str">
        <f>IFERROR(MID(VLOOKUP($B401,Seqs!$A:$B,2,0),W401,1),"")</f>
        <v>V</v>
      </c>
      <c r="W401" s="9">
        <v>243</v>
      </c>
      <c r="X401" s="9" t="str">
        <f>IFERROR(MID(VLOOKUP($B401,Seqs!$A:$B,2,0),Y401,1),"")</f>
        <v/>
      </c>
      <c r="Y401" s="9" t="s">
        <v>23</v>
      </c>
      <c r="Z401" s="9" t="str">
        <f>IFERROR(MID(VLOOKUP($B401,Seqs!$A:$B,2,0),AA401,1),"")</f>
        <v/>
      </c>
      <c r="AA401" s="9" t="s">
        <v>23</v>
      </c>
      <c r="AB401" s="9" t="str">
        <f>IFERROR(MID(VLOOKUP($B401,Seqs!$A:$B,2,0),AC401,1),"")</f>
        <v>L</v>
      </c>
      <c r="AC401" s="9">
        <v>252</v>
      </c>
      <c r="AD401" s="9" t="str">
        <f>IFERROR(MID(VLOOKUP($B401,Seqs!$A:$B,2,0),AE401,1),"")</f>
        <v>Y</v>
      </c>
      <c r="AE401" s="9">
        <v>278</v>
      </c>
      <c r="AF401" s="9" t="str">
        <f>IFERROR(MID(VLOOKUP($B401,Seqs!$A:$B,2,0),AG401,1),"")</f>
        <v>C</v>
      </c>
      <c r="AG401" s="9">
        <v>282</v>
      </c>
      <c r="AH401" s="9" t="str">
        <f>IFERROR(MID(VLOOKUP($B401,Seqs!$A:$B,2,0),AI401,1),"")</f>
        <v>I</v>
      </c>
      <c r="AI401" s="9">
        <v>284</v>
      </c>
      <c r="AJ401" s="9" t="str">
        <f>IFERROR(MID(VLOOKUP($B401,Seqs!$A:$B,2,0),AK401,1),"")</f>
        <v>L</v>
      </c>
      <c r="AK401" s="9">
        <v>290</v>
      </c>
      <c r="AL401" s="9" t="str">
        <f>IFERROR(MID(VLOOKUP($B401,Seqs!$A:$B,2,0),AM401,1),"")</f>
        <v>K</v>
      </c>
      <c r="AM401" s="9">
        <v>321</v>
      </c>
      <c r="AN401" s="9" t="str">
        <f>IFERROR(MID(VLOOKUP($B401,Seqs!$A:$B,2,0),AO401,1),"")</f>
        <v>L</v>
      </c>
      <c r="AO401" s="9">
        <v>330</v>
      </c>
      <c r="AP401" s="9" t="str">
        <f>IFERROR(MID(VLOOKUP($B401,Seqs!$A:$B,2,0),AQ401,1),"")</f>
        <v>L</v>
      </c>
      <c r="AQ401" s="9">
        <v>351</v>
      </c>
      <c r="AR401" s="9" t="str">
        <f>IFERROR(MID(VLOOKUP($B401,Seqs!$A:$B,2,0),AS401,1),"")</f>
        <v>E</v>
      </c>
      <c r="AS401" s="9">
        <v>363</v>
      </c>
      <c r="AT401" s="9" t="str">
        <f>IFERROR(MID(VLOOKUP($B401,Seqs!$A:$B,2,0),AU401,1),"")</f>
        <v>F</v>
      </c>
      <c r="AU401" s="9">
        <v>387</v>
      </c>
      <c r="AV401" s="9" t="str">
        <f>IFERROR(MID(VLOOKUP($B401,Seqs!$A:$B,2,0),AW401,1),"")</f>
        <v>N</v>
      </c>
      <c r="AW401" s="9">
        <v>388</v>
      </c>
      <c r="AX401" s="9" t="str">
        <f>IFERROR(MID(VLOOKUP($B401,Seqs!$A:$B,2,0),AY401,1),"")</f>
        <v>W</v>
      </c>
      <c r="AY401" s="9">
        <v>399</v>
      </c>
      <c r="AZ401" s="110" t="str">
        <f>VLOOKUP(B401,Classification!A:D,2,0)</f>
        <v>B1</v>
      </c>
      <c r="BA401" s="98" t="str">
        <f>VLOOKUP(B401,Classification!A:D,4,0)</f>
        <v>Calcitonin</v>
      </c>
      <c r="BB401" s="36" t="b">
        <f t="shared" ref="BB401" si="3522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109">
        <f t="shared" ref="BC401" si="3523">_xlfn.AGGREGATE(9,6,CH401:CS401)-_xlfn.AGGREGATE(9,6,BV401:CG401)+12</f>
        <v>225</v>
      </c>
      <c r="BD401" s="11" t="s">
        <v>23</v>
      </c>
      <c r="BE401" s="9" t="s">
        <v>1285</v>
      </c>
      <c r="BF401" s="119">
        <v>2.2999999999999998</v>
      </c>
      <c r="BG401" s="51" t="s">
        <v>1416</v>
      </c>
      <c r="BH401" s="51" t="s">
        <v>1416</v>
      </c>
      <c r="BJ401" s="111" t="s">
        <v>1281</v>
      </c>
      <c r="BK401" s="112" t="s">
        <v>1281</v>
      </c>
      <c r="BL401" s="112" t="s">
        <v>1281</v>
      </c>
      <c r="BM401" s="112" t="s">
        <v>1281</v>
      </c>
      <c r="BN401" s="112" t="s">
        <v>1281</v>
      </c>
      <c r="BO401" s="112" t="s">
        <v>1281</v>
      </c>
      <c r="BP401" s="112" t="s">
        <v>1281</v>
      </c>
      <c r="BQ401" s="112" t="s">
        <v>1281</v>
      </c>
      <c r="BR401" s="112" t="s">
        <v>1281</v>
      </c>
      <c r="BS401" s="112" t="s">
        <v>1281</v>
      </c>
      <c r="BT401" s="112" t="s">
        <v>1281</v>
      </c>
      <c r="BU401" s="112" t="s">
        <v>1281</v>
      </c>
      <c r="BV401" s="111">
        <f t="shared" ref="BV401" si="3524">E401</f>
        <v>131</v>
      </c>
      <c r="BW401" s="113">
        <f t="shared" ref="BW401" si="3525">I401</f>
        <v>167</v>
      </c>
      <c r="BX401" s="114">
        <f t="shared" ref="BX401" si="3526">M401</f>
        <v>171</v>
      </c>
      <c r="BY401" s="113" t="str">
        <f t="shared" ref="BY401" si="3527">Q401</f>
        <v>-</v>
      </c>
      <c r="BZ401" s="114">
        <f t="shared" ref="BZ401" si="3528">U401</f>
        <v>210</v>
      </c>
      <c r="CA401" s="113" t="str">
        <f t="shared" ref="CA401" si="3529">Y401</f>
        <v>-</v>
      </c>
      <c r="CB401" s="114">
        <f t="shared" ref="CB401" si="3530">AC401</f>
        <v>252</v>
      </c>
      <c r="CC401" s="113">
        <f t="shared" ref="CC401" si="3531">AG401</f>
        <v>282</v>
      </c>
      <c r="CD401" s="114">
        <f t="shared" ref="CD401" si="3532">AK401</f>
        <v>290</v>
      </c>
      <c r="CE401" s="113">
        <f t="shared" ref="CE401" si="3533">AO401</f>
        <v>330</v>
      </c>
      <c r="CF401" s="114">
        <f t="shared" ref="CF401" si="3534">AS401</f>
        <v>363</v>
      </c>
      <c r="CG401" s="113">
        <f t="shared" ref="CG401" si="3535">AW401</f>
        <v>388</v>
      </c>
      <c r="CH401" s="111">
        <f t="shared" ref="CH401" si="3536">G401</f>
        <v>166</v>
      </c>
      <c r="CI401" s="113">
        <f t="shared" ref="CI401" si="3537">K401</f>
        <v>170</v>
      </c>
      <c r="CJ401" s="114">
        <f t="shared" ref="CJ401" si="3538">O401</f>
        <v>198</v>
      </c>
      <c r="CK401" s="114" t="str">
        <f t="shared" ref="CK401" si="3539">S401</f>
        <v>-</v>
      </c>
      <c r="CL401" s="114">
        <f t="shared" ref="CL401" si="3540">W401</f>
        <v>243</v>
      </c>
      <c r="CM401" s="114" t="str">
        <f t="shared" ref="CM401" si="3541">AA401</f>
        <v>-</v>
      </c>
      <c r="CN401" s="114">
        <f t="shared" ref="CN401" si="3542">AE401</f>
        <v>278</v>
      </c>
      <c r="CO401" s="114">
        <f t="shared" ref="CO401" si="3543">AI401</f>
        <v>284</v>
      </c>
      <c r="CP401" s="114">
        <f t="shared" ref="CP401" si="3544">AM401</f>
        <v>321</v>
      </c>
      <c r="CQ401" s="114">
        <f t="shared" ref="CQ401" si="3545">AQ401</f>
        <v>351</v>
      </c>
      <c r="CR401" s="114">
        <f t="shared" ref="CR401" si="3546">AU401</f>
        <v>387</v>
      </c>
      <c r="CS401" s="114">
        <f t="shared" ref="CS401" si="3547">AY401</f>
        <v>399</v>
      </c>
      <c r="CT401" s="109">
        <f t="shared" ref="CT401" si="3548">M401-K401</f>
        <v>1</v>
      </c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28"/>
      <c r="FA401" s="128"/>
      <c r="FB401" s="128"/>
      <c r="FC401" s="128"/>
      <c r="FD401" s="128"/>
      <c r="FE401" s="128"/>
      <c r="FF401" s="128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  <c r="GW401" s="128"/>
      <c r="GX401" s="128"/>
      <c r="GY401" s="128"/>
      <c r="GZ401" s="128"/>
      <c r="HA401" s="128"/>
      <c r="HB401" s="128"/>
      <c r="HC401" s="128"/>
      <c r="HD401" s="128"/>
      <c r="HE401" s="128"/>
      <c r="HF401" s="128"/>
      <c r="HG401" s="128"/>
      <c r="HH401" s="128"/>
      <c r="HI401" s="128"/>
      <c r="HJ401" s="128"/>
      <c r="HK401" s="128"/>
      <c r="HL401" s="128"/>
      <c r="HM401" s="128"/>
      <c r="HN401" s="128"/>
      <c r="HO401" s="128"/>
      <c r="HP401" s="128"/>
      <c r="HQ401" s="128"/>
      <c r="HR401" s="128"/>
      <c r="HS401" s="128"/>
      <c r="HT401" s="128"/>
      <c r="HU401" s="128"/>
      <c r="HV401" s="128"/>
      <c r="HW401" s="128"/>
      <c r="HX401" s="128"/>
      <c r="HY401" s="128"/>
      <c r="HZ401" s="128"/>
      <c r="IA401" s="128"/>
      <c r="IB401" s="128"/>
      <c r="IC401" s="128"/>
      <c r="ID401" s="128"/>
      <c r="IE401" s="128"/>
      <c r="IF401" s="128"/>
      <c r="IG401" s="128"/>
      <c r="IH401" s="128"/>
      <c r="II401" s="128"/>
      <c r="IJ401" s="128"/>
      <c r="IK401" s="128"/>
      <c r="IL401" s="128"/>
      <c r="IM401" s="128"/>
      <c r="IN401" s="128"/>
      <c r="IO401" s="128"/>
      <c r="IP401" s="128"/>
      <c r="IQ401" s="128"/>
      <c r="IR401" s="128"/>
      <c r="IS401" s="128"/>
      <c r="IT401" s="128"/>
      <c r="IU401" s="128"/>
      <c r="IV401" s="128"/>
      <c r="IW401" s="128"/>
      <c r="IX401" s="128"/>
      <c r="IY401" s="128"/>
      <c r="IZ401" s="128"/>
      <c r="JA401" s="128"/>
      <c r="JB401" s="128"/>
      <c r="JC401" s="128"/>
      <c r="JD401" s="128"/>
      <c r="JE401" s="128"/>
      <c r="JF401" s="128"/>
      <c r="JG401" s="128"/>
      <c r="JH401" s="128"/>
      <c r="JI401" s="128"/>
      <c r="JJ401" s="128"/>
      <c r="JK401" s="128"/>
      <c r="JL401" s="128"/>
      <c r="JM401" s="128"/>
      <c r="JN401" s="128"/>
      <c r="JO401" s="128"/>
      <c r="JP401" s="128"/>
      <c r="JQ401" s="128"/>
      <c r="JR401" s="128"/>
      <c r="JS401" s="128"/>
      <c r="JT401" s="128"/>
      <c r="JU401" s="128"/>
      <c r="JV401" s="128"/>
      <c r="JW401" s="128"/>
      <c r="JX401" s="128"/>
      <c r="JY401" s="128"/>
      <c r="JZ401" s="128"/>
      <c r="KA401" s="128"/>
      <c r="KB401" s="128"/>
      <c r="KC401" s="128"/>
      <c r="KD401" s="128"/>
      <c r="KE401" s="128"/>
      <c r="KF401" s="128"/>
      <c r="KG401" s="128"/>
      <c r="KH401" s="128"/>
      <c r="KI401" s="128"/>
      <c r="KJ401" s="128"/>
      <c r="KK401" s="128"/>
      <c r="KL401" s="128"/>
      <c r="KM401" s="128"/>
      <c r="KN401" s="128"/>
      <c r="KO401" s="128"/>
      <c r="KP401" s="128"/>
      <c r="KQ401" s="128"/>
      <c r="KR401" s="128"/>
      <c r="KS401" s="128"/>
      <c r="KT401" s="128"/>
      <c r="KU401" s="128"/>
      <c r="KV401" s="128"/>
      <c r="KW401" s="128"/>
      <c r="KX401" s="128"/>
      <c r="KY401" s="128"/>
      <c r="KZ401" s="128"/>
      <c r="LA401" s="128"/>
      <c r="LB401" s="128"/>
      <c r="LC401" s="128"/>
      <c r="LD401" s="128"/>
      <c r="LE401" s="128"/>
      <c r="LF401" s="128"/>
      <c r="LG401" s="128"/>
      <c r="LH401" s="128"/>
      <c r="LI401" s="128"/>
      <c r="LJ401" s="128"/>
      <c r="LK401" s="128"/>
      <c r="LL401" s="128"/>
      <c r="LM401" s="128"/>
      <c r="LN401" s="128"/>
      <c r="LO401" s="128"/>
      <c r="LP401" s="128"/>
      <c r="LQ401" s="128"/>
      <c r="LR401" s="128"/>
      <c r="LS401" s="128"/>
      <c r="LT401" s="128"/>
      <c r="LU401" s="128"/>
      <c r="LV401" s="128"/>
      <c r="LW401" s="128"/>
      <c r="LX401" s="128"/>
      <c r="LY401" s="128"/>
      <c r="LZ401" s="128"/>
      <c r="MA401" s="128"/>
      <c r="MB401" s="128"/>
      <c r="MC401" s="128"/>
      <c r="MD401" s="128"/>
      <c r="ME401" s="128"/>
      <c r="MF401" s="128"/>
      <c r="MG401" s="128"/>
      <c r="MH401" s="128"/>
      <c r="MI401" s="128"/>
      <c r="MJ401" s="128"/>
      <c r="MK401" s="128"/>
      <c r="ML401" s="128"/>
      <c r="MM401" s="128"/>
      <c r="MN401" s="128"/>
      <c r="MO401" s="128"/>
      <c r="MP401" s="128"/>
      <c r="MQ401" s="128"/>
      <c r="MR401" s="128"/>
      <c r="MS401" s="128"/>
      <c r="MT401" s="128"/>
      <c r="MU401" s="128"/>
      <c r="MV401" s="128"/>
      <c r="MW401" s="128"/>
      <c r="MX401" s="128"/>
      <c r="MY401" s="128"/>
      <c r="MZ401" s="128"/>
      <c r="NA401" s="128"/>
      <c r="NB401" s="128"/>
      <c r="NC401" s="128"/>
      <c r="ND401" s="128"/>
      <c r="NE401" s="128"/>
      <c r="NF401" s="128"/>
      <c r="NG401" s="128"/>
      <c r="NH401" s="128"/>
      <c r="NI401" s="128"/>
      <c r="NJ401" s="128"/>
      <c r="NK401" s="128"/>
      <c r="NL401" s="128"/>
      <c r="NM401" s="128"/>
      <c r="NN401" s="128"/>
      <c r="NO401" s="128"/>
      <c r="NP401" s="128"/>
      <c r="NQ401" s="128"/>
      <c r="NR401" s="128"/>
      <c r="NS401" s="128"/>
      <c r="NT401" s="128"/>
      <c r="NU401" s="128"/>
      <c r="NV401" s="128"/>
      <c r="NW401" s="128"/>
      <c r="NX401" s="128"/>
      <c r="NY401" s="128"/>
      <c r="NZ401" s="128"/>
      <c r="OA401" s="128"/>
      <c r="OB401" s="128"/>
      <c r="OC401" s="128"/>
      <c r="OD401" s="128"/>
      <c r="OE401" s="128"/>
      <c r="OF401" s="128"/>
      <c r="OG401" s="128"/>
      <c r="OH401" s="128"/>
      <c r="OI401" s="128"/>
      <c r="OJ401" s="128"/>
      <c r="OK401" s="128"/>
      <c r="OL401" s="128"/>
      <c r="OM401" s="128"/>
      <c r="ON401" s="128"/>
      <c r="OO401" s="128"/>
      <c r="OP401" s="128"/>
      <c r="OQ401" s="128"/>
      <c r="OR401" s="128"/>
      <c r="OS401" s="128"/>
      <c r="OT401" s="128"/>
      <c r="OU401" s="128"/>
      <c r="OV401" s="128"/>
      <c r="OW401" s="128"/>
      <c r="OX401" s="128"/>
      <c r="OY401" s="128"/>
      <c r="OZ401" s="128"/>
      <c r="PA401" s="128"/>
      <c r="PB401" s="128"/>
      <c r="PC401" s="128"/>
      <c r="PD401" s="128"/>
      <c r="PE401" s="128"/>
      <c r="PF401" s="128"/>
      <c r="PG401" s="128"/>
      <c r="PH401" s="128"/>
      <c r="PI401" s="128"/>
      <c r="PJ401" s="128"/>
      <c r="PK401" s="128"/>
      <c r="PL401" s="128"/>
      <c r="PM401" s="128"/>
      <c r="PN401" s="128"/>
      <c r="PO401" s="128"/>
      <c r="PP401" s="128"/>
      <c r="PQ401" s="128"/>
      <c r="PR401" s="128"/>
      <c r="PS401" s="128"/>
      <c r="PT401" s="128"/>
      <c r="PU401" s="128"/>
      <c r="PV401" s="128"/>
      <c r="PW401" s="128"/>
      <c r="PX401" s="128"/>
      <c r="PY401" s="128"/>
      <c r="PZ401" s="128"/>
      <c r="QA401" s="128"/>
      <c r="QB401" s="128"/>
      <c r="QC401" s="128"/>
      <c r="QD401" s="128"/>
      <c r="QE401" s="128"/>
      <c r="QF401" s="128"/>
      <c r="QG401" s="128"/>
      <c r="QH401" s="128"/>
      <c r="QI401" s="128"/>
      <c r="QJ401" s="128"/>
      <c r="QK401" s="128"/>
      <c r="QL401" s="128"/>
      <c r="QM401" s="128"/>
      <c r="QN401" s="128"/>
      <c r="QO401" s="128"/>
      <c r="QP401" s="128"/>
      <c r="QQ401" s="128"/>
      <c r="QR401" s="128"/>
      <c r="QS401" s="128"/>
      <c r="QT401" s="128"/>
      <c r="QU401" s="128"/>
      <c r="QV401" s="128"/>
      <c r="QW401" s="128"/>
      <c r="QX401" s="128"/>
      <c r="QY401" s="128"/>
      <c r="QZ401" s="128"/>
      <c r="RA401" s="128"/>
      <c r="RB401" s="128"/>
      <c r="RC401" s="128"/>
      <c r="RD401" s="128"/>
      <c r="RE401" s="128"/>
      <c r="RF401" s="128"/>
      <c r="RG401" s="128"/>
      <c r="RH401" s="128"/>
      <c r="RI401" s="128"/>
      <c r="RJ401" s="128"/>
      <c r="RK401" s="128"/>
      <c r="RL401" s="128"/>
      <c r="RM401" s="128"/>
      <c r="RN401" s="128"/>
      <c r="RO401" s="128"/>
      <c r="RP401" s="128"/>
      <c r="RQ401" s="128"/>
      <c r="RR401" s="128"/>
      <c r="RS401" s="128"/>
      <c r="RT401" s="128"/>
      <c r="RU401" s="128"/>
      <c r="RV401" s="128"/>
      <c r="RW401" s="128"/>
      <c r="RX401" s="128"/>
      <c r="RY401" s="128"/>
      <c r="RZ401" s="128"/>
      <c r="SA401" s="128"/>
      <c r="SB401" s="128"/>
      <c r="SC401" s="128"/>
      <c r="SD401" s="128"/>
      <c r="SE401" s="128"/>
      <c r="SF401" s="128"/>
      <c r="SG401" s="128"/>
      <c r="SH401" s="128"/>
      <c r="SI401" s="128"/>
      <c r="SJ401" s="128"/>
      <c r="SK401" s="128"/>
      <c r="SL401" s="128"/>
      <c r="SM401" s="128"/>
      <c r="SN401" s="128"/>
      <c r="SO401" s="128"/>
      <c r="SP401" s="128"/>
      <c r="SQ401" s="128"/>
      <c r="SR401" s="128"/>
      <c r="SS401" s="128"/>
      <c r="ST401" s="128"/>
      <c r="SU401" s="128"/>
      <c r="SV401" s="128"/>
      <c r="SW401" s="128"/>
      <c r="SX401" s="128"/>
      <c r="SY401" s="128"/>
      <c r="SZ401" s="128"/>
      <c r="TA401" s="128"/>
      <c r="TB401" s="128"/>
      <c r="TC401" s="128"/>
      <c r="TD401" s="128"/>
      <c r="TE401" s="128"/>
      <c r="TF401" s="128"/>
      <c r="TG401" s="128"/>
      <c r="TH401" s="128"/>
      <c r="TI401" s="128"/>
      <c r="TJ401" s="128"/>
      <c r="TK401" s="128"/>
      <c r="TL401" s="128"/>
      <c r="TM401" s="128"/>
      <c r="TN401" s="128"/>
      <c r="TO401" s="128"/>
      <c r="TP401" s="128"/>
      <c r="TQ401" s="128"/>
      <c r="TR401" s="128"/>
      <c r="TS401" s="128"/>
      <c r="TT401" s="128"/>
      <c r="TU401" s="128"/>
      <c r="TV401" s="128"/>
      <c r="TW401" s="128"/>
      <c r="TX401" s="128"/>
      <c r="TY401" s="128"/>
      <c r="TZ401" s="128"/>
      <c r="UA401" s="128"/>
      <c r="UB401" s="128"/>
      <c r="UC401" s="128"/>
      <c r="UD401" s="128"/>
      <c r="UE401" s="128"/>
      <c r="UF401" s="128"/>
      <c r="UG401" s="128"/>
      <c r="UH401" s="128"/>
      <c r="UI401" s="128"/>
      <c r="UJ401" s="128"/>
      <c r="UK401" s="128"/>
      <c r="UL401" s="128"/>
      <c r="UM401" s="128"/>
      <c r="UN401" s="128"/>
      <c r="UO401" s="128"/>
      <c r="UP401" s="128"/>
      <c r="UQ401" s="128"/>
      <c r="UR401" s="128"/>
      <c r="US401" s="128"/>
      <c r="UT401" s="128"/>
      <c r="UU401" s="128"/>
      <c r="UV401" s="128"/>
      <c r="UW401" s="128"/>
      <c r="UX401" s="128"/>
      <c r="UY401" s="128"/>
      <c r="UZ401" s="128"/>
      <c r="VA401" s="128"/>
      <c r="VB401" s="128"/>
      <c r="VC401" s="128"/>
      <c r="VD401" s="128"/>
      <c r="VE401" s="128"/>
      <c r="VF401" s="128"/>
      <c r="VG401" s="128"/>
      <c r="VH401" s="128"/>
      <c r="VI401" s="128"/>
      <c r="VJ401" s="128"/>
      <c r="VK401" s="128"/>
      <c r="VL401" s="128"/>
      <c r="VM401" s="128"/>
      <c r="VN401" s="128"/>
      <c r="VO401" s="128"/>
      <c r="VP401" s="128"/>
      <c r="VQ401" s="128"/>
      <c r="VR401" s="128"/>
      <c r="VS401" s="128"/>
      <c r="VT401" s="128"/>
      <c r="VU401" s="128"/>
      <c r="VV401" s="128"/>
      <c r="VW401" s="128"/>
      <c r="VX401" s="128"/>
      <c r="VY401" s="128"/>
      <c r="VZ401" s="128"/>
      <c r="WA401" s="128"/>
      <c r="WB401" s="128"/>
      <c r="WC401" s="128"/>
      <c r="WD401" s="128"/>
      <c r="WE401" s="128"/>
      <c r="WF401" s="128"/>
      <c r="WG401" s="128"/>
      <c r="WH401" s="128"/>
      <c r="WI401" s="128"/>
      <c r="WJ401" s="128"/>
      <c r="WK401" s="128"/>
      <c r="WL401" s="128"/>
      <c r="WM401" s="128"/>
      <c r="WN401" s="128"/>
      <c r="WO401" s="128"/>
      <c r="WP401" s="128"/>
      <c r="WQ401" s="128"/>
      <c r="WR401" s="128"/>
      <c r="WS401" s="128"/>
      <c r="WT401" s="128"/>
      <c r="WU401" s="128"/>
      <c r="WV401" s="128"/>
      <c r="WW401" s="128"/>
      <c r="WX401" s="128"/>
      <c r="WY401" s="128"/>
      <c r="WZ401" s="128"/>
      <c r="XA401" s="128"/>
      <c r="XB401" s="128"/>
      <c r="XC401" s="128"/>
      <c r="XD401" s="128"/>
      <c r="XE401" s="128"/>
      <c r="XF401" s="128"/>
      <c r="XG401" s="128"/>
      <c r="XH401" s="128"/>
      <c r="XI401" s="128"/>
      <c r="XJ401" s="128"/>
      <c r="XK401" s="128"/>
      <c r="XL401" s="128"/>
      <c r="XM401" s="128"/>
      <c r="XN401" s="128"/>
      <c r="XO401" s="128"/>
      <c r="XP401" s="128"/>
      <c r="XQ401" s="128"/>
      <c r="XR401" s="128"/>
      <c r="XS401" s="128"/>
      <c r="XT401" s="128"/>
      <c r="XU401" s="128"/>
      <c r="XV401" s="128"/>
      <c r="XW401" s="128"/>
      <c r="XX401" s="128"/>
      <c r="XY401" s="128"/>
      <c r="XZ401" s="128"/>
      <c r="YA401" s="128"/>
      <c r="YB401" s="128"/>
      <c r="YC401" s="128"/>
      <c r="YD401" s="128"/>
      <c r="YE401" s="128"/>
      <c r="YF401" s="128"/>
      <c r="YG401" s="128"/>
      <c r="YH401" s="128"/>
      <c r="YI401" s="128"/>
      <c r="YJ401" s="128"/>
      <c r="YK401" s="128"/>
      <c r="YL401" s="128"/>
      <c r="YM401" s="128"/>
      <c r="YN401" s="128"/>
      <c r="YO401" s="128"/>
      <c r="YP401" s="128"/>
      <c r="YQ401" s="128"/>
      <c r="YR401" s="128"/>
      <c r="YS401" s="128"/>
      <c r="YT401" s="128"/>
      <c r="YU401" s="128"/>
      <c r="YV401" s="128"/>
      <c r="YW401" s="128"/>
      <c r="YX401" s="128"/>
      <c r="YY401" s="128"/>
      <c r="YZ401" s="128"/>
      <c r="ZA401" s="128"/>
      <c r="ZB401" s="128"/>
      <c r="ZC401" s="128"/>
      <c r="ZD401" s="128"/>
      <c r="ZE401" s="128"/>
      <c r="ZF401" s="128"/>
      <c r="ZG401" s="128"/>
      <c r="ZH401" s="128"/>
      <c r="ZI401" s="128"/>
      <c r="ZJ401" s="128"/>
      <c r="ZK401" s="128"/>
      <c r="ZL401" s="128"/>
      <c r="ZM401" s="128"/>
      <c r="ZN401" s="128"/>
      <c r="ZO401" s="128"/>
      <c r="ZP401" s="128"/>
      <c r="ZQ401" s="128"/>
      <c r="ZR401" s="128"/>
      <c r="ZS401" s="128"/>
      <c r="ZT401" s="128"/>
      <c r="ZU401" s="128"/>
      <c r="ZV401" s="128"/>
      <c r="ZW401" s="128"/>
      <c r="ZX401" s="128"/>
      <c r="ZY401" s="128"/>
      <c r="ZZ401" s="128"/>
      <c r="AAA401" s="128"/>
      <c r="AAB401" s="128"/>
      <c r="AAC401" s="128"/>
      <c r="AAD401" s="128"/>
      <c r="AAE401" s="128"/>
      <c r="AAF401" s="128"/>
      <c r="AAG401" s="128"/>
      <c r="AAH401" s="128"/>
      <c r="AAI401" s="128"/>
      <c r="AAJ401" s="128"/>
      <c r="AAK401" s="128"/>
      <c r="AAL401" s="128"/>
      <c r="AAM401" s="128"/>
      <c r="AAN401" s="128"/>
      <c r="AAO401" s="128"/>
      <c r="AAP401" s="128"/>
      <c r="AAQ401" s="128"/>
      <c r="AAR401" s="128"/>
      <c r="AAS401" s="128"/>
      <c r="AAT401" s="128"/>
      <c r="AAU401" s="128"/>
      <c r="AAV401" s="128"/>
      <c r="AAW401" s="128"/>
      <c r="AAX401" s="128"/>
      <c r="AAY401" s="128"/>
      <c r="AAZ401" s="128"/>
      <c r="ABA401" s="128"/>
      <c r="ABB401" s="128"/>
      <c r="ABC401" s="128"/>
      <c r="ABD401" s="128"/>
      <c r="ABE401" s="128"/>
      <c r="ABF401" s="128"/>
      <c r="ABG401" s="128"/>
      <c r="ABH401" s="128"/>
      <c r="ABI401" s="128"/>
      <c r="ABJ401" s="128"/>
      <c r="ABK401" s="128"/>
      <c r="ABL401" s="128"/>
      <c r="ABM401" s="128"/>
      <c r="ABN401" s="128"/>
      <c r="ABO401" s="128"/>
      <c r="ABP401" s="128"/>
      <c r="ABQ401" s="128"/>
      <c r="ABR401" s="128"/>
      <c r="ABS401" s="128"/>
      <c r="ABT401" s="128"/>
      <c r="ABU401" s="128"/>
      <c r="ABV401" s="128"/>
      <c r="ABW401" s="128"/>
      <c r="ABX401" s="128"/>
      <c r="ABY401" s="128"/>
      <c r="ABZ401" s="128"/>
      <c r="ACA401" s="128"/>
      <c r="ACB401" s="128"/>
      <c r="ACC401" s="128"/>
      <c r="ACD401" s="128"/>
      <c r="ACE401" s="128"/>
      <c r="ACF401" s="128"/>
      <c r="ACG401" s="128"/>
      <c r="ACH401" s="128"/>
      <c r="ACI401" s="128"/>
      <c r="ACJ401" s="128"/>
      <c r="ACK401" s="128"/>
      <c r="ACL401" s="128"/>
      <c r="ACM401" s="128"/>
      <c r="ACN401" s="128"/>
      <c r="ACO401" s="128"/>
      <c r="ACP401" s="128"/>
      <c r="ACQ401" s="128"/>
      <c r="ACR401" s="128"/>
      <c r="ACS401" s="128"/>
      <c r="ACT401" s="128"/>
      <c r="ACU401" s="128"/>
      <c r="ACV401" s="128"/>
      <c r="ACW401" s="128"/>
      <c r="ACX401" s="128"/>
      <c r="ACY401" s="128"/>
      <c r="ACZ401" s="128"/>
      <c r="ADA401" s="128"/>
      <c r="ADB401" s="128"/>
      <c r="ADC401" s="128"/>
      <c r="ADD401" s="128"/>
      <c r="ADE401" s="128"/>
      <c r="ADF401" s="128"/>
      <c r="ADG401" s="128"/>
      <c r="ADH401" s="128"/>
      <c r="ADI401" s="128"/>
      <c r="ADJ401" s="128"/>
      <c r="ADK401" s="128"/>
      <c r="ADL401" s="128"/>
      <c r="ADM401" s="128"/>
      <c r="ADN401" s="128"/>
      <c r="ADO401" s="128"/>
      <c r="ADP401" s="128"/>
      <c r="ADQ401" s="128"/>
      <c r="ADR401" s="128"/>
      <c r="ADS401" s="128"/>
      <c r="ADT401" s="128"/>
      <c r="ADU401" s="128"/>
      <c r="ADV401" s="128"/>
      <c r="ADW401" s="128"/>
      <c r="ADX401" s="128"/>
      <c r="ADY401" s="128"/>
      <c r="ADZ401" s="128"/>
      <c r="AEA401" s="128"/>
      <c r="AEB401" s="128"/>
      <c r="AEC401" s="128"/>
      <c r="AED401" s="128"/>
      <c r="AEE401" s="128"/>
      <c r="AEF401" s="128"/>
      <c r="AEG401" s="128"/>
      <c r="AEH401" s="128"/>
      <c r="AEI401" s="128"/>
      <c r="AEJ401" s="128"/>
      <c r="AEK401" s="128"/>
      <c r="AEL401" s="128"/>
      <c r="AEM401" s="128"/>
      <c r="AEN401" s="128"/>
      <c r="AEO401" s="128"/>
      <c r="AEP401" s="128"/>
      <c r="AEQ401" s="128"/>
      <c r="AER401" s="128"/>
      <c r="AES401" s="128"/>
      <c r="AET401" s="128"/>
      <c r="AEU401" s="128"/>
      <c r="AEV401" s="128"/>
      <c r="AEW401" s="128"/>
      <c r="AEX401" s="128"/>
      <c r="AEY401" s="128"/>
      <c r="AEZ401" s="128"/>
      <c r="AFA401" s="128"/>
      <c r="AFB401" s="128"/>
      <c r="AFC401" s="128"/>
      <c r="AFD401" s="128"/>
      <c r="AFE401" s="128"/>
      <c r="AFF401" s="128"/>
      <c r="AFG401" s="128"/>
      <c r="AFH401" s="128"/>
      <c r="AFI401" s="128"/>
      <c r="AFJ401" s="128"/>
      <c r="AFK401" s="128"/>
      <c r="AFL401" s="128"/>
      <c r="AFM401" s="128"/>
      <c r="AFN401" s="128"/>
      <c r="AFO401" s="128"/>
      <c r="AFP401" s="128"/>
      <c r="AFQ401" s="128"/>
      <c r="AFR401" s="128"/>
      <c r="AFS401" s="128"/>
      <c r="AFT401" s="128"/>
      <c r="AFU401" s="128"/>
      <c r="AFV401" s="128"/>
      <c r="AFW401" s="128"/>
      <c r="AFX401" s="128"/>
      <c r="AFY401" s="128"/>
      <c r="AFZ401" s="128"/>
      <c r="AGA401" s="128"/>
      <c r="AGB401" s="128"/>
      <c r="AGC401" s="128"/>
      <c r="AGD401" s="128"/>
      <c r="AGE401" s="128"/>
      <c r="AGF401" s="128"/>
      <c r="AGG401" s="128"/>
      <c r="AGH401" s="128"/>
      <c r="AGI401" s="128"/>
      <c r="AGJ401" s="128"/>
      <c r="AGK401" s="128"/>
      <c r="AGL401" s="128"/>
      <c r="AGM401" s="128"/>
      <c r="AGN401" s="128"/>
      <c r="AGO401" s="128"/>
      <c r="AGP401" s="128"/>
      <c r="AGQ401" s="128"/>
      <c r="AGR401" s="128"/>
      <c r="AGS401" s="128"/>
      <c r="AGT401" s="128"/>
      <c r="AGU401" s="128"/>
      <c r="AGV401" s="128"/>
      <c r="AGW401" s="128"/>
      <c r="AGX401" s="128"/>
      <c r="AGY401" s="128"/>
      <c r="AGZ401" s="128"/>
      <c r="AHA401" s="128"/>
      <c r="AHB401" s="128"/>
      <c r="AHC401" s="128"/>
      <c r="AHD401" s="128"/>
      <c r="AHE401" s="128"/>
      <c r="AHF401" s="128"/>
      <c r="AHG401" s="128"/>
      <c r="AHH401" s="128"/>
      <c r="AHI401" s="128"/>
      <c r="AHJ401" s="128"/>
      <c r="AHK401" s="128"/>
      <c r="AHL401" s="128"/>
      <c r="AHM401" s="128"/>
      <c r="AHN401" s="128"/>
      <c r="AHO401" s="128"/>
      <c r="AHP401" s="128"/>
      <c r="AHQ401" s="128"/>
      <c r="AHR401" s="128"/>
      <c r="AHS401" s="128"/>
      <c r="AHT401" s="128"/>
      <c r="AHU401" s="128"/>
      <c r="AHV401" s="128"/>
      <c r="AHW401" s="128"/>
      <c r="AHX401" s="128"/>
      <c r="AHY401" s="128"/>
      <c r="AHZ401" s="128"/>
      <c r="AIA401" s="128"/>
      <c r="AIB401" s="128"/>
      <c r="AIC401" s="128"/>
      <c r="AID401" s="128"/>
      <c r="AIE401" s="128"/>
      <c r="AIF401" s="128"/>
      <c r="AIG401" s="128"/>
      <c r="AIH401" s="128"/>
      <c r="AII401" s="128"/>
      <c r="AIJ401" s="128"/>
      <c r="AIK401" s="128"/>
      <c r="AIL401" s="128"/>
      <c r="AIM401" s="128"/>
      <c r="AIN401" s="128"/>
      <c r="AIO401" s="128"/>
      <c r="AIP401" s="128"/>
      <c r="AIQ401" s="128"/>
      <c r="AIR401" s="128"/>
      <c r="AIS401" s="128"/>
      <c r="AIT401" s="128"/>
      <c r="AIU401" s="128"/>
      <c r="AIV401" s="128"/>
      <c r="AIW401" s="128"/>
      <c r="AIX401" s="128"/>
      <c r="AIY401" s="128"/>
      <c r="AIZ401" s="128"/>
      <c r="AJA401" s="128"/>
      <c r="AJB401" s="128"/>
      <c r="AJC401" s="128"/>
      <c r="AJD401" s="128"/>
      <c r="AJE401" s="128"/>
      <c r="AJF401" s="128"/>
      <c r="AJG401" s="128"/>
      <c r="AJH401" s="128"/>
      <c r="AJI401" s="128"/>
      <c r="AJJ401" s="128"/>
      <c r="AJK401" s="128"/>
      <c r="AJL401" s="128"/>
      <c r="AJM401" s="128"/>
      <c r="AJN401" s="128"/>
      <c r="AJO401" s="128"/>
      <c r="AJP401" s="128"/>
      <c r="AJQ401" s="128"/>
      <c r="AJR401" s="128"/>
      <c r="AJS401" s="128"/>
      <c r="AJT401" s="128"/>
      <c r="AJU401" s="128"/>
      <c r="AJV401" s="128"/>
      <c r="AJW401" s="128"/>
      <c r="AJX401" s="128"/>
      <c r="AJY401" s="128"/>
      <c r="AJZ401" s="128"/>
      <c r="AKA401" s="128"/>
      <c r="AKB401" s="128"/>
      <c r="AKC401" s="128"/>
      <c r="AKD401" s="128"/>
      <c r="AKE401" s="128"/>
      <c r="AKF401" s="128"/>
      <c r="AKG401" s="128"/>
      <c r="AKH401" s="128"/>
      <c r="AKI401" s="128"/>
      <c r="AKJ401" s="128"/>
      <c r="AKK401" s="128"/>
      <c r="AKL401" s="128"/>
      <c r="AKM401" s="128"/>
      <c r="AKN401" s="128"/>
      <c r="AKO401" s="128"/>
      <c r="AKP401" s="128"/>
      <c r="AKQ401" s="128"/>
      <c r="AKR401" s="128"/>
      <c r="AKS401" s="128"/>
      <c r="AKT401" s="128"/>
      <c r="AKU401" s="128"/>
      <c r="AKV401" s="128"/>
      <c r="AKW401" s="128"/>
      <c r="AKX401" s="128"/>
      <c r="AKY401" s="128"/>
      <c r="AKZ401" s="128"/>
      <c r="ALA401" s="128"/>
      <c r="ALB401" s="128"/>
      <c r="ALC401" s="128"/>
      <c r="ALD401" s="128"/>
      <c r="ALE401" s="128"/>
      <c r="ALF401" s="128"/>
      <c r="ALG401" s="128"/>
      <c r="ALH401" s="128"/>
      <c r="ALI401" s="128"/>
      <c r="ALJ401" s="128"/>
      <c r="ALK401" s="128"/>
      <c r="ALL401" s="128"/>
      <c r="ALM401" s="128"/>
      <c r="ALN401" s="128"/>
      <c r="ALO401" s="128"/>
      <c r="ALP401" s="128"/>
      <c r="ALQ401" s="128"/>
      <c r="ALR401" s="128"/>
      <c r="ALS401" s="128"/>
      <c r="ALT401" s="128"/>
      <c r="ALU401" s="128"/>
      <c r="ALV401" s="128"/>
      <c r="ALW401" s="128"/>
      <c r="ALX401" s="128"/>
      <c r="ALY401" s="128"/>
      <c r="ALZ401" s="128"/>
      <c r="AMA401" s="128"/>
      <c r="AMB401" s="128"/>
      <c r="AMC401" s="128"/>
      <c r="AMD401" s="128"/>
      <c r="AME401" s="128"/>
      <c r="AMF401" s="128"/>
      <c r="AMG401" s="128"/>
      <c r="AMH401" s="128"/>
      <c r="AMI401" s="128"/>
      <c r="AMJ401" s="128"/>
      <c r="AMK401" s="128"/>
      <c r="AML401" s="128"/>
      <c r="AMM401" s="128"/>
      <c r="AMN401" s="128"/>
      <c r="AMO401" s="128"/>
      <c r="AMP401" s="128"/>
    </row>
    <row r="402" spans="1:1030" x14ac:dyDescent="0.2">
      <c r="A402" s="3" t="str">
        <f t="shared" si="2541"/>
        <v>crfr1_human__wt</v>
      </c>
      <c r="B402" s="3" t="s">
        <v>38</v>
      </c>
      <c r="C402" s="3" t="s">
        <v>100</v>
      </c>
      <c r="D402" s="3" t="str">
        <f>IFERROR(MID(VLOOKUP($B402,Seqs!$A:$B,2,0),E402,1),"")</f>
        <v>Q</v>
      </c>
      <c r="E402" s="3">
        <v>103</v>
      </c>
      <c r="F402" s="3" t="str">
        <f>IFERROR(MID(VLOOKUP($B402,Seqs!$A:$B,2,0),G402,1),"")</f>
        <v>L</v>
      </c>
      <c r="G402" s="3">
        <v>144</v>
      </c>
      <c r="H402" s="3" t="str">
        <f>IFERROR(MID(VLOOKUP($B402,Seqs!$A:$B,2,0),I402,1),"")</f>
        <v>R</v>
      </c>
      <c r="I402" s="23">
        <v>145</v>
      </c>
      <c r="J402" s="3" t="str">
        <f>IFERROR(MID(VLOOKUP($B402,Seqs!$A:$B,2,0),K402,1),"")</f>
        <v>R</v>
      </c>
      <c r="K402" s="23">
        <v>148</v>
      </c>
      <c r="L402" s="3" t="str">
        <f>IFERROR(MID(VLOOKUP($B402,Seqs!$A:$B,2,0),M402,1),"")</f>
        <v>C</v>
      </c>
      <c r="M402" s="23">
        <v>149</v>
      </c>
      <c r="N402" s="3" t="str">
        <f>IFERROR(MID(VLOOKUP($B402,Seqs!$A:$B,2,0),O402,1),"")</f>
        <v>T</v>
      </c>
      <c r="O402" s="3">
        <v>175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V</v>
      </c>
      <c r="U402" s="3">
        <v>185</v>
      </c>
      <c r="V402" s="3" t="str">
        <f>IFERROR(MID(VLOOKUP($B402,Seqs!$A:$B,2,0),W402,1),"")</f>
        <v>L</v>
      </c>
      <c r="W402" s="3">
        <v>219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L</v>
      </c>
      <c r="AC402" s="9">
        <v>226</v>
      </c>
      <c r="AD402" s="3" t="str">
        <f>IFERROR(MID(VLOOKUP($B402,Seqs!$A:$B,2,0),AE402,1),"")</f>
        <v>D</v>
      </c>
      <c r="AE402" s="3">
        <v>254</v>
      </c>
      <c r="AF402" s="3" t="str">
        <f>IFERROR(MID(VLOOKUP($B402,Seqs!$A:$B,2,0),AG402,1),"")</f>
        <v>C</v>
      </c>
      <c r="AG402" s="3">
        <v>258</v>
      </c>
      <c r="AH402" s="3" t="str">
        <f>IFERROR(MID(VLOOKUP($B402,Seqs!$A:$B,2,0),AI402,1),"")</f>
        <v>F</v>
      </c>
      <c r="AI402" s="3">
        <v>260</v>
      </c>
      <c r="AJ402" s="3" t="str">
        <f>IFERROR(MID(VLOOKUP($B402,Seqs!$A:$B,2,0),AK402,1),"")</f>
        <v>T</v>
      </c>
      <c r="AK402" s="3">
        <v>268</v>
      </c>
      <c r="AL402" s="3" t="str">
        <f>IFERROR(MID(VLOOKUP($B402,Seqs!$A:$B,2,0),AM402,1),"")</f>
        <v>L</v>
      </c>
      <c r="AM402" s="3">
        <v>298</v>
      </c>
      <c r="AN402" s="3" t="str">
        <f>IFERROR(MID(VLOOKUP($B402,Seqs!$A:$B,2,0),AO402,1),"")</f>
        <v>S</v>
      </c>
      <c r="AO402" s="3">
        <v>304</v>
      </c>
      <c r="AP402" s="3" t="str">
        <f>IFERROR(MID(VLOOKUP($B402,Seqs!$A:$B,2,0),AQ402,1),"")</f>
        <v>V</v>
      </c>
      <c r="AQ402" s="3">
        <v>332</v>
      </c>
      <c r="AR402" s="3" t="str">
        <f>IFERROR(MID(VLOOKUP($B402,Seqs!$A:$B,2,0),AS402,1),"")</f>
        <v>E</v>
      </c>
      <c r="AS402" s="3">
        <v>338</v>
      </c>
      <c r="AT402" s="3" t="str">
        <f>IFERROR(MID(VLOOKUP($B402,Seqs!$A:$B,2,0),AU402,1),"")</f>
        <v>L</v>
      </c>
      <c r="AU402" s="3">
        <v>366</v>
      </c>
      <c r="AV402" s="3" t="str">
        <f>IFERROR(MID(VLOOKUP($B402,Seqs!$A:$B,2,0),AW402,1),"")</f>
        <v>N</v>
      </c>
      <c r="AW402" s="3">
        <v>367</v>
      </c>
      <c r="AX402" s="3" t="str">
        <f>IFERROR(MID(VLOOKUP($B402,Seqs!$A:$B,2,0),AY402,1),"")</f>
        <v>A</v>
      </c>
      <c r="AY402" s="3">
        <v>392</v>
      </c>
      <c r="AZ402" s="77" t="str">
        <f>VLOOKUP(B402,Classification!A:D,2,0)</f>
        <v>B1</v>
      </c>
      <c r="BA402" s="94" t="str">
        <f>VLOOKUP(B402,Classification!A:D,4,0)</f>
        <v>Corticotropin-releasingfact</v>
      </c>
      <c r="BB402" s="27" t="b">
        <f t="shared" si="2542"/>
        <v>1</v>
      </c>
      <c r="BC402" s="23">
        <f t="shared" ref="BC402:BC456" si="3549">_xlfn.AGGREGATE(9,6,CH402:CS402)-_xlfn.AGGREGATE(9,6,BV402:CG402)+12</f>
        <v>257</v>
      </c>
      <c r="BD402" s="56" t="s">
        <v>23</v>
      </c>
      <c r="BE402" s="3" t="s">
        <v>23</v>
      </c>
      <c r="BF402" s="118" t="s">
        <v>23</v>
      </c>
      <c r="BG402" s="49" t="s">
        <v>1366</v>
      </c>
      <c r="BH402" s="49" t="s">
        <v>1371</v>
      </c>
      <c r="BI402" s="1"/>
      <c r="BJ402" s="70" t="s">
        <v>1281</v>
      </c>
      <c r="BK402" s="57" t="s">
        <v>1281</v>
      </c>
      <c r="BL402" s="57" t="s">
        <v>1281</v>
      </c>
      <c r="BM402" s="57" t="s">
        <v>1281</v>
      </c>
      <c r="BN402" s="57" t="s">
        <v>1281</v>
      </c>
      <c r="BO402" s="57" t="s">
        <v>1281</v>
      </c>
      <c r="BP402" s="57" t="s">
        <v>1281</v>
      </c>
      <c r="BQ402" s="57" t="s">
        <v>1281</v>
      </c>
      <c r="BR402" s="57" t="s">
        <v>1281</v>
      </c>
      <c r="BS402" s="57" t="s">
        <v>1281</v>
      </c>
      <c r="BT402" s="57" t="s">
        <v>1281</v>
      </c>
      <c r="BU402" s="57" t="s">
        <v>1281</v>
      </c>
      <c r="BV402" s="70">
        <f t="shared" ref="BV402:BV456" si="3550">E402</f>
        <v>103</v>
      </c>
      <c r="BW402" s="71">
        <f t="shared" ref="BW402:BW456" si="3551">I402</f>
        <v>145</v>
      </c>
      <c r="BX402" s="72">
        <f t="shared" ref="BX402:BX456" si="3552">M402</f>
        <v>149</v>
      </c>
      <c r="BY402" s="71" t="str">
        <f t="shared" ref="BY402:BY456" si="3553">Q402</f>
        <v>-</v>
      </c>
      <c r="BZ402" s="72">
        <f t="shared" ref="BZ402:BZ456" si="3554">U402</f>
        <v>185</v>
      </c>
      <c r="CA402" s="71" t="str">
        <f t="shared" ref="CA402:CA456" si="3555">Y402</f>
        <v>-</v>
      </c>
      <c r="CB402" s="72">
        <f t="shared" ref="CB402:CB456" si="3556">AC402</f>
        <v>226</v>
      </c>
      <c r="CC402" s="71">
        <f t="shared" ref="CC402:CC456" si="3557">AG402</f>
        <v>258</v>
      </c>
      <c r="CD402" s="72">
        <f t="shared" ref="CD402:CD456" si="3558">AK402</f>
        <v>268</v>
      </c>
      <c r="CE402" s="71">
        <f t="shared" ref="CE402:CE456" si="3559">AO402</f>
        <v>304</v>
      </c>
      <c r="CF402" s="72">
        <f t="shared" ref="CF402:CF456" si="3560">AS402</f>
        <v>338</v>
      </c>
      <c r="CG402" s="71">
        <f t="shared" ref="CG402:CG456" si="3561">AW402</f>
        <v>367</v>
      </c>
      <c r="CH402" s="70">
        <f t="shared" ref="CH402:CH456" si="3562">G402</f>
        <v>144</v>
      </c>
      <c r="CI402" s="71">
        <f t="shared" ref="CI402:CI456" si="3563">K402</f>
        <v>148</v>
      </c>
      <c r="CJ402" s="72">
        <f t="shared" ref="CJ402:CJ456" si="3564">O402</f>
        <v>175</v>
      </c>
      <c r="CK402" s="72" t="str">
        <f t="shared" ref="CK402:CK456" si="3565">S402</f>
        <v>-</v>
      </c>
      <c r="CL402" s="72">
        <f t="shared" ref="CL402:CL456" si="3566">W402</f>
        <v>219</v>
      </c>
      <c r="CM402" s="72" t="str">
        <f t="shared" ref="CM402:CM456" si="3567">AA402</f>
        <v>-</v>
      </c>
      <c r="CN402" s="72">
        <f t="shared" ref="CN402:CN456" si="3568">AE402</f>
        <v>254</v>
      </c>
      <c r="CO402" s="72">
        <f t="shared" ref="CO402:CO456" si="3569">AI402</f>
        <v>260</v>
      </c>
      <c r="CP402" s="72">
        <f t="shared" ref="CP402:CP456" si="3570">AM402</f>
        <v>298</v>
      </c>
      <c r="CQ402" s="72">
        <f t="shared" ref="CQ402:CQ456" si="3571">AQ402</f>
        <v>332</v>
      </c>
      <c r="CR402" s="72">
        <f t="shared" ref="CR402:CR456" si="3572">AU402</f>
        <v>366</v>
      </c>
      <c r="CS402" s="72">
        <f t="shared" ref="CS402:CS456" si="3573">AY402</f>
        <v>392</v>
      </c>
      <c r="CT402" s="23">
        <f t="shared" ref="CT402:CT456" si="3574">M402-K402</f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 t="shared" si="2541"/>
        <v>crfr1_human_4K5Y</v>
      </c>
      <c r="B403" s="3" t="s">
        <v>38</v>
      </c>
      <c r="C403" s="3" t="s">
        <v>95</v>
      </c>
      <c r="D403" s="3" t="str">
        <f>IFERROR(MID(VLOOKUP($B403,Seqs!$A:$B,2,0),E403,1),"")</f>
        <v>H</v>
      </c>
      <c r="E403" s="3">
        <v>117</v>
      </c>
      <c r="F403" s="3" t="str">
        <f>IFERROR(MID(VLOOKUP($B403,Seqs!$A:$B,2,0),G403,1),"")</f>
        <v>L</v>
      </c>
      <c r="G403" s="3">
        <v>144</v>
      </c>
      <c r="H403" s="3" t="str">
        <f>IFERROR(MID(VLOOKUP($B403,Seqs!$A:$B,2,0),I403,1),"")</f>
        <v>R</v>
      </c>
      <c r="I403" s="23">
        <v>145</v>
      </c>
      <c r="J403" s="3" t="str">
        <f>IFERROR(MID(VLOOKUP($B403,Seqs!$A:$B,2,0),K403,1),"")</f>
        <v>R</v>
      </c>
      <c r="K403" s="23">
        <v>148</v>
      </c>
      <c r="L403" s="3" t="str">
        <f>IFERROR(MID(VLOOKUP($B403,Seqs!$A:$B,2,0),M403,1),"")</f>
        <v>C</v>
      </c>
      <c r="M403" s="23">
        <v>149</v>
      </c>
      <c r="N403" s="3" t="str">
        <f>IFERROR(MID(VLOOKUP($B403,Seqs!$A:$B,2,0),O403,1),"")</f>
        <v>T</v>
      </c>
      <c r="O403" s="3">
        <v>175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V</v>
      </c>
      <c r="U403" s="3">
        <v>185</v>
      </c>
      <c r="V403" s="3" t="str">
        <f>IFERROR(MID(VLOOKUP($B403,Seqs!$A:$B,2,0),W403,1),"")</f>
        <v>L</v>
      </c>
      <c r="W403" s="3">
        <v>219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L</v>
      </c>
      <c r="AC403" s="9">
        <v>226</v>
      </c>
      <c r="AD403" s="3" t="str">
        <f>IFERROR(MID(VLOOKUP($B403,Seqs!$A:$B,2,0),AE403,1),"")</f>
        <v>D</v>
      </c>
      <c r="AE403" s="3">
        <v>254</v>
      </c>
      <c r="AF403" s="3" t="str">
        <f>IFERROR(MID(VLOOKUP($B403,Seqs!$A:$B,2,0),AG403,1),"")</f>
        <v>C</v>
      </c>
      <c r="AG403" s="3">
        <v>258</v>
      </c>
      <c r="AH403" s="3" t="str">
        <f>IFERROR(MID(VLOOKUP($B403,Seqs!$A:$B,2,0),AI403,1),"")</f>
        <v>F</v>
      </c>
      <c r="AI403" s="3">
        <v>260</v>
      </c>
      <c r="AJ403" s="3" t="str">
        <f>IFERROR(MID(VLOOKUP($B403,Seqs!$A:$B,2,0),AK403,1),"")</f>
        <v>T</v>
      </c>
      <c r="AK403" s="3">
        <v>268</v>
      </c>
      <c r="AL403" s="3" t="str">
        <f>IFERROR(MID(VLOOKUP($B403,Seqs!$A:$B,2,0),AM403,1),"")</f>
        <v>L</v>
      </c>
      <c r="AM403" s="3">
        <v>298</v>
      </c>
      <c r="AN403" s="3" t="str">
        <f>IFERROR(MID(VLOOKUP($B403,Seqs!$A:$B,2,0),AO403,1),"")</f>
        <v>S</v>
      </c>
      <c r="AO403" s="3">
        <v>304</v>
      </c>
      <c r="AP403" s="3" t="str">
        <f>IFERROR(MID(VLOOKUP($B403,Seqs!$A:$B,2,0),AQ403,1),"")</f>
        <v>V</v>
      </c>
      <c r="AQ403" s="3">
        <v>332</v>
      </c>
      <c r="AR403" s="3" t="str">
        <f>IFERROR(MID(VLOOKUP($B403,Seqs!$A:$B,2,0),AS403,1),"")</f>
        <v>E</v>
      </c>
      <c r="AS403" s="3">
        <v>338</v>
      </c>
      <c r="AT403" s="3" t="str">
        <f>IFERROR(MID(VLOOKUP($B403,Seqs!$A:$B,2,0),AU403,1),"")</f>
        <v>F</v>
      </c>
      <c r="AU403" s="3">
        <v>362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B1</v>
      </c>
      <c r="BA403" s="94" t="str">
        <f>VLOOKUP(B403,Classification!A:D,4,0)</f>
        <v>Corticotropin-releasingfact</v>
      </c>
      <c r="BB403" s="27" t="b">
        <f t="shared" si="2542"/>
        <v>1</v>
      </c>
      <c r="BC403" s="23">
        <f t="shared" si="3549"/>
        <v>214</v>
      </c>
      <c r="BD403" s="4" t="s">
        <v>23</v>
      </c>
      <c r="BE403" s="3" t="s">
        <v>1368</v>
      </c>
      <c r="BF403" s="118">
        <v>2.98</v>
      </c>
      <c r="BG403" s="49" t="s">
        <v>1371</v>
      </c>
      <c r="BH403" s="49" t="s">
        <v>1371</v>
      </c>
      <c r="BI403" s="1"/>
      <c r="BJ403" s="70" t="s">
        <v>1281</v>
      </c>
      <c r="BK403" s="57" t="s">
        <v>1281</v>
      </c>
      <c r="BL403" s="57" t="s">
        <v>1281</v>
      </c>
      <c r="BM403" s="57" t="s">
        <v>1281</v>
      </c>
      <c r="BN403" s="57" t="s">
        <v>1281</v>
      </c>
      <c r="BO403" s="57" t="s">
        <v>1281</v>
      </c>
      <c r="BP403" s="57" t="s">
        <v>1281</v>
      </c>
      <c r="BQ403" s="57" t="s">
        <v>1281</v>
      </c>
      <c r="BR403" s="57" t="s">
        <v>1281</v>
      </c>
      <c r="BS403" s="57" t="s">
        <v>1281</v>
      </c>
      <c r="BT403" s="57" t="s">
        <v>1281</v>
      </c>
      <c r="BU403" s="57" t="s">
        <v>1281</v>
      </c>
      <c r="BV403" s="70">
        <f t="shared" si="3550"/>
        <v>117</v>
      </c>
      <c r="BW403" s="71">
        <f t="shared" si="3551"/>
        <v>145</v>
      </c>
      <c r="BX403" s="72">
        <f t="shared" si="3552"/>
        <v>149</v>
      </c>
      <c r="BY403" s="71" t="str">
        <f t="shared" si="3553"/>
        <v>-</v>
      </c>
      <c r="BZ403" s="72">
        <f t="shared" si="3554"/>
        <v>185</v>
      </c>
      <c r="CA403" s="71" t="str">
        <f t="shared" si="3555"/>
        <v>-</v>
      </c>
      <c r="CB403" s="72">
        <f t="shared" si="3556"/>
        <v>226</v>
      </c>
      <c r="CC403" s="71">
        <f t="shared" si="3557"/>
        <v>258</v>
      </c>
      <c r="CD403" s="72">
        <f t="shared" si="3558"/>
        <v>268</v>
      </c>
      <c r="CE403" s="71">
        <f t="shared" si="3559"/>
        <v>304</v>
      </c>
      <c r="CF403" s="72">
        <f t="shared" si="3560"/>
        <v>338</v>
      </c>
      <c r="CG403" s="71" t="str">
        <f t="shared" si="3561"/>
        <v>-</v>
      </c>
      <c r="CH403" s="70">
        <f t="shared" si="3562"/>
        <v>144</v>
      </c>
      <c r="CI403" s="71">
        <f t="shared" si="3563"/>
        <v>148</v>
      </c>
      <c r="CJ403" s="72">
        <f t="shared" si="3564"/>
        <v>175</v>
      </c>
      <c r="CK403" s="72" t="str">
        <f t="shared" si="3565"/>
        <v>-</v>
      </c>
      <c r="CL403" s="72">
        <f t="shared" si="3566"/>
        <v>219</v>
      </c>
      <c r="CM403" s="72" t="str">
        <f t="shared" si="3567"/>
        <v>-</v>
      </c>
      <c r="CN403" s="72">
        <f t="shared" si="3568"/>
        <v>254</v>
      </c>
      <c r="CO403" s="72">
        <f t="shared" si="3569"/>
        <v>260</v>
      </c>
      <c r="CP403" s="72">
        <f t="shared" si="3570"/>
        <v>298</v>
      </c>
      <c r="CQ403" s="72">
        <f t="shared" si="3571"/>
        <v>332</v>
      </c>
      <c r="CR403" s="72">
        <f t="shared" si="3572"/>
        <v>362</v>
      </c>
      <c r="CS403" s="72" t="str">
        <f t="shared" si="3573"/>
        <v>-</v>
      </c>
      <c r="CT403" s="23">
        <f t="shared" si="3574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 t="shared" si="2541"/>
        <v>crfr1_human_4K5Y_dist</v>
      </c>
      <c r="B404" s="3" t="s">
        <v>38</v>
      </c>
      <c r="C404" s="3" t="s">
        <v>1154</v>
      </c>
      <c r="D404" s="3" t="str">
        <f>IFERROR(MID(VLOOKUP($B404,Seqs!$A:$B,2,0),E404,1),"")</f>
        <v>H</v>
      </c>
      <c r="E404" s="3">
        <v>117</v>
      </c>
      <c r="F404" s="3" t="str">
        <f>IFERROR(MID(VLOOKUP($B404,Seqs!$A:$B,2,0),G404,1),"")</f>
        <v>L</v>
      </c>
      <c r="G404" s="3">
        <v>144</v>
      </c>
      <c r="H404" s="3" t="str">
        <f>IFERROR(MID(VLOOKUP($B404,Seqs!$A:$B,2,0),I404,1),"")</f>
        <v>R</v>
      </c>
      <c r="I404" s="23">
        <v>145</v>
      </c>
      <c r="J404" s="3" t="str">
        <f>IFERROR(MID(VLOOKUP($B404,Seqs!$A:$B,2,0),K404,1),"")</f>
        <v>R</v>
      </c>
      <c r="K404" s="23">
        <v>148</v>
      </c>
      <c r="L404" s="3" t="str">
        <f>IFERROR(MID(VLOOKUP($B404,Seqs!$A:$B,2,0),M404,1),"")</f>
        <v>C</v>
      </c>
      <c r="M404" s="23">
        <v>149</v>
      </c>
      <c r="N404" s="3" t="str">
        <f>IFERROR(MID(VLOOKUP($B404,Seqs!$A:$B,2,0),O404,1),"")</f>
        <v>T</v>
      </c>
      <c r="O404" s="3">
        <v>175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V</v>
      </c>
      <c r="U404" s="3">
        <v>185</v>
      </c>
      <c r="V404" s="3" t="str">
        <f>IFERROR(MID(VLOOKUP($B404,Seqs!$A:$B,2,0),W404,1),"")</f>
        <v>L</v>
      </c>
      <c r="W404" s="3">
        <v>219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L</v>
      </c>
      <c r="AC404" s="9">
        <v>226</v>
      </c>
      <c r="AD404" s="3" t="str">
        <f>IFERROR(MID(VLOOKUP($B404,Seqs!$A:$B,2,0),AE404,1),"")</f>
        <v>D</v>
      </c>
      <c r="AE404" s="3">
        <v>254</v>
      </c>
      <c r="AF404" s="3" t="str">
        <f>IFERROR(MID(VLOOKUP($B404,Seqs!$A:$B,2,0),AG404,1),"")</f>
        <v>C</v>
      </c>
      <c r="AG404" s="3">
        <v>258</v>
      </c>
      <c r="AH404" s="3" t="str">
        <f>IFERROR(MID(VLOOKUP($B404,Seqs!$A:$B,2,0),AI404,1),"")</f>
        <v>F</v>
      </c>
      <c r="AI404" s="3">
        <v>260</v>
      </c>
      <c r="AJ404" s="3" t="str">
        <f>IFERROR(MID(VLOOKUP($B404,Seqs!$A:$B,2,0),AK404,1),"")</f>
        <v>T</v>
      </c>
      <c r="AK404" s="3">
        <v>268</v>
      </c>
      <c r="AL404" s="3" t="str">
        <f>IFERROR(MID(VLOOKUP($B404,Seqs!$A:$B,2,0),AM404,1),"")</f>
        <v>L</v>
      </c>
      <c r="AM404" s="3">
        <v>298</v>
      </c>
      <c r="AN404" s="3" t="str">
        <f>IFERROR(MID(VLOOKUP($B404,Seqs!$A:$B,2,0),AO404,1),"")</f>
        <v>S</v>
      </c>
      <c r="AO404" s="3">
        <v>304</v>
      </c>
      <c r="AP404" s="3" t="str">
        <f>IFERROR(MID(VLOOKUP($B404,Seqs!$A:$B,2,0),AQ404,1),"")</f>
        <v>V</v>
      </c>
      <c r="AQ404" s="3">
        <v>332</v>
      </c>
      <c r="AR404" s="3" t="str">
        <f>IFERROR(MID(VLOOKUP($B404,Seqs!$A:$B,2,0),AS404,1),"")</f>
        <v>E</v>
      </c>
      <c r="AS404" s="3">
        <v>338</v>
      </c>
      <c r="AT404" s="3" t="str">
        <f>IFERROR(MID(VLOOKUP($B404,Seqs!$A:$B,2,0),AU404,1),"")</f>
        <v>L</v>
      </c>
      <c r="AU404" s="3">
        <v>366</v>
      </c>
      <c r="AV404" s="3" t="str">
        <f>IFERROR(MID(VLOOKUP($B404,Seqs!$A:$B,2,0),AW404,1),"")</f>
        <v/>
      </c>
      <c r="AW404" s="3" t="s">
        <v>23</v>
      </c>
      <c r="AX404" s="3" t="str">
        <f>IFERROR(MID(VLOOKUP($B404,Seqs!$A:$B,2,0),AY404,1),"")</f>
        <v/>
      </c>
      <c r="AY404" s="3" t="s">
        <v>23</v>
      </c>
      <c r="AZ404" s="77" t="str">
        <f>VLOOKUP(B404,Classification!A:D,2,0)</f>
        <v>B1</v>
      </c>
      <c r="BA404" s="94" t="str">
        <f>VLOOKUP(B404,Classification!A:D,4,0)</f>
        <v>Corticotropin-releasingfact</v>
      </c>
      <c r="BB404" s="27" t="b">
        <f t="shared" si="2542"/>
        <v>1</v>
      </c>
      <c r="BC404" s="23">
        <f t="shared" si="3549"/>
        <v>218</v>
      </c>
      <c r="BD404" s="56" t="s">
        <v>23</v>
      </c>
      <c r="BE404" s="3" t="s">
        <v>1368</v>
      </c>
      <c r="BF404" s="118">
        <v>2.98</v>
      </c>
      <c r="BG404" s="49" t="s">
        <v>1371</v>
      </c>
      <c r="BH404" s="49" t="s">
        <v>1371</v>
      </c>
      <c r="BI404" s="3" t="s">
        <v>1156</v>
      </c>
      <c r="BJ404" s="70" t="s">
        <v>1281</v>
      </c>
      <c r="BK404" s="57" t="s">
        <v>1281</v>
      </c>
      <c r="BL404" s="57" t="s">
        <v>1281</v>
      </c>
      <c r="BM404" s="57" t="s">
        <v>1281</v>
      </c>
      <c r="BN404" s="57" t="s">
        <v>1281</v>
      </c>
      <c r="BO404" s="57" t="s">
        <v>1281</v>
      </c>
      <c r="BP404" s="57" t="s">
        <v>1281</v>
      </c>
      <c r="BQ404" s="57" t="s">
        <v>1281</v>
      </c>
      <c r="BR404" s="57" t="s">
        <v>1281</v>
      </c>
      <c r="BS404" s="57" t="s">
        <v>1281</v>
      </c>
      <c r="BT404" s="57" t="s">
        <v>1281</v>
      </c>
      <c r="BU404" s="57" t="s">
        <v>1281</v>
      </c>
      <c r="BV404" s="70">
        <f t="shared" si="3550"/>
        <v>117</v>
      </c>
      <c r="BW404" s="71">
        <f t="shared" si="3551"/>
        <v>145</v>
      </c>
      <c r="BX404" s="72">
        <f t="shared" si="3552"/>
        <v>149</v>
      </c>
      <c r="BY404" s="71" t="str">
        <f t="shared" si="3553"/>
        <v>-</v>
      </c>
      <c r="BZ404" s="72">
        <f t="shared" si="3554"/>
        <v>185</v>
      </c>
      <c r="CA404" s="71" t="str">
        <f t="shared" si="3555"/>
        <v>-</v>
      </c>
      <c r="CB404" s="72">
        <f t="shared" si="3556"/>
        <v>226</v>
      </c>
      <c r="CC404" s="71">
        <f t="shared" si="3557"/>
        <v>258</v>
      </c>
      <c r="CD404" s="72">
        <f t="shared" si="3558"/>
        <v>268</v>
      </c>
      <c r="CE404" s="71">
        <f t="shared" si="3559"/>
        <v>304</v>
      </c>
      <c r="CF404" s="72">
        <f t="shared" si="3560"/>
        <v>338</v>
      </c>
      <c r="CG404" s="71" t="str">
        <f t="shared" si="3561"/>
        <v>-</v>
      </c>
      <c r="CH404" s="70">
        <f t="shared" si="3562"/>
        <v>144</v>
      </c>
      <c r="CI404" s="71">
        <f t="shared" si="3563"/>
        <v>148</v>
      </c>
      <c r="CJ404" s="72">
        <f t="shared" si="3564"/>
        <v>175</v>
      </c>
      <c r="CK404" s="72" t="str">
        <f t="shared" si="3565"/>
        <v>-</v>
      </c>
      <c r="CL404" s="72">
        <f t="shared" si="3566"/>
        <v>219</v>
      </c>
      <c r="CM404" s="72" t="str">
        <f t="shared" si="3567"/>
        <v>-</v>
      </c>
      <c r="CN404" s="72">
        <f t="shared" si="3568"/>
        <v>254</v>
      </c>
      <c r="CO404" s="72">
        <f t="shared" si="3569"/>
        <v>260</v>
      </c>
      <c r="CP404" s="72">
        <f t="shared" si="3570"/>
        <v>298</v>
      </c>
      <c r="CQ404" s="72">
        <f t="shared" si="3571"/>
        <v>332</v>
      </c>
      <c r="CR404" s="72">
        <f t="shared" si="3572"/>
        <v>366</v>
      </c>
      <c r="CS404" s="72" t="str">
        <f t="shared" si="3573"/>
        <v>-</v>
      </c>
      <c r="CT404" s="23">
        <f t="shared" si="3574"/>
        <v>1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 t="shared" si="2541"/>
        <v>crfr1_human_4Z9G</v>
      </c>
      <c r="B405" s="3" t="s">
        <v>38</v>
      </c>
      <c r="C405" s="3" t="s">
        <v>1053</v>
      </c>
      <c r="D405" s="3" t="str">
        <f>IFERROR(MID(VLOOKUP($B405,Seqs!$A:$B,2,0),E405,1),"")</f>
        <v>S</v>
      </c>
      <c r="E405" s="3">
        <v>112</v>
      </c>
      <c r="F405" s="3" t="str">
        <f>IFERROR(MID(VLOOKUP($B405,Seqs!$A:$B,2,0),G405,1),"")</f>
        <v>L</v>
      </c>
      <c r="G405" s="3">
        <v>144</v>
      </c>
      <c r="H405" s="3" t="str">
        <f>IFERROR(MID(VLOOKUP($B405,Seqs!$A:$B,2,0),I405,1),"")</f>
        <v>R</v>
      </c>
      <c r="I405" s="23">
        <v>145</v>
      </c>
      <c r="J405" s="3" t="str">
        <f>IFERROR(MID(VLOOKUP($B405,Seqs!$A:$B,2,0),K405,1),"")</f>
        <v>R</v>
      </c>
      <c r="K405" s="23">
        <v>148</v>
      </c>
      <c r="L405" s="3" t="str">
        <f>IFERROR(MID(VLOOKUP($B405,Seqs!$A:$B,2,0),M405,1),"")</f>
        <v>C</v>
      </c>
      <c r="M405" s="23">
        <v>149</v>
      </c>
      <c r="N405" s="3" t="str">
        <f>IFERROR(MID(VLOOKUP($B405,Seqs!$A:$B,2,0),O405,1),"")</f>
        <v>T</v>
      </c>
      <c r="O405" s="3">
        <v>175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V</v>
      </c>
      <c r="U405" s="3">
        <v>185</v>
      </c>
      <c r="V405" s="3" t="str">
        <f>IFERROR(MID(VLOOKUP($B405,Seqs!$A:$B,2,0),W405,1),"")</f>
        <v>L</v>
      </c>
      <c r="W405" s="3">
        <v>219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L</v>
      </c>
      <c r="AC405" s="9">
        <v>226</v>
      </c>
      <c r="AD405" s="3" t="str">
        <f>IFERROR(MID(VLOOKUP($B405,Seqs!$A:$B,2,0),AE405,1),"")</f>
        <v>D</v>
      </c>
      <c r="AE405" s="3">
        <v>254</v>
      </c>
      <c r="AF405" s="3" t="str">
        <f>IFERROR(MID(VLOOKUP($B405,Seqs!$A:$B,2,0),AG405,1),"")</f>
        <v>C</v>
      </c>
      <c r="AG405" s="3">
        <v>258</v>
      </c>
      <c r="AH405" s="3" t="str">
        <f>IFERROR(MID(VLOOKUP($B405,Seqs!$A:$B,2,0),AI405,1),"")</f>
        <v>F</v>
      </c>
      <c r="AI405" s="3">
        <v>260</v>
      </c>
      <c r="AJ405" s="3" t="str">
        <f>IFERROR(MID(VLOOKUP($B405,Seqs!$A:$B,2,0),AK405,1),"")</f>
        <v>T</v>
      </c>
      <c r="AK405" s="3">
        <v>268</v>
      </c>
      <c r="AL405" s="3" t="str">
        <f>IFERROR(MID(VLOOKUP($B405,Seqs!$A:$B,2,0),AM405,1),"")</f>
        <v>L</v>
      </c>
      <c r="AM405" s="3">
        <v>298</v>
      </c>
      <c r="AN405" s="3" t="str">
        <f>IFERROR(MID(VLOOKUP($B405,Seqs!$A:$B,2,0),AO405,1),"")</f>
        <v>S</v>
      </c>
      <c r="AO405" s="3">
        <v>304</v>
      </c>
      <c r="AP405" s="3" t="str">
        <f>IFERROR(MID(VLOOKUP($B405,Seqs!$A:$B,2,0),AQ405,1),"")</f>
        <v>V</v>
      </c>
      <c r="AQ405" s="3">
        <v>332</v>
      </c>
      <c r="AR405" s="3" t="str">
        <f>IFERROR(MID(VLOOKUP($B405,Seqs!$A:$B,2,0),AS405,1),"")</f>
        <v>V</v>
      </c>
      <c r="AS405" s="3">
        <v>339</v>
      </c>
      <c r="AT405" s="3" t="str">
        <f>IFERROR(MID(VLOOKUP($B405,Seqs!$A:$B,2,0),AU405,1),"")</f>
        <v>F</v>
      </c>
      <c r="AU405" s="3">
        <v>362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B1</v>
      </c>
      <c r="BA405" s="94" t="str">
        <f>VLOOKUP(B405,Classification!A:D,4,0)</f>
        <v>Corticotropin-releasingfact</v>
      </c>
      <c r="BB405" s="27" t="b">
        <f t="shared" si="2542"/>
        <v>1</v>
      </c>
      <c r="BC405" s="23">
        <f t="shared" si="3549"/>
        <v>218</v>
      </c>
      <c r="BD405" s="2" t="s">
        <v>1370</v>
      </c>
      <c r="BE405" s="3" t="s">
        <v>1368</v>
      </c>
      <c r="BF405" s="118">
        <v>3.18</v>
      </c>
      <c r="BG405" s="49" t="s">
        <v>1371</v>
      </c>
      <c r="BH405" s="49" t="s">
        <v>1371</v>
      </c>
      <c r="BI405" s="1"/>
      <c r="BJ405" s="70" t="s">
        <v>1281</v>
      </c>
      <c r="BK405" s="57" t="s">
        <v>1281</v>
      </c>
      <c r="BL405" s="57" t="s">
        <v>1281</v>
      </c>
      <c r="BM405" s="57" t="s">
        <v>1281</v>
      </c>
      <c r="BN405" s="57" t="s">
        <v>1281</v>
      </c>
      <c r="BO405" s="57" t="s">
        <v>1281</v>
      </c>
      <c r="BP405" s="57" t="s">
        <v>1281</v>
      </c>
      <c r="BQ405" s="57" t="s">
        <v>1281</v>
      </c>
      <c r="BR405" s="57" t="s">
        <v>1281</v>
      </c>
      <c r="BS405" s="57" t="s">
        <v>1281</v>
      </c>
      <c r="BT405" s="57" t="s">
        <v>1281</v>
      </c>
      <c r="BU405" s="57" t="s">
        <v>1281</v>
      </c>
      <c r="BV405" s="70">
        <f t="shared" si="3550"/>
        <v>112</v>
      </c>
      <c r="BW405" s="71">
        <f t="shared" si="3551"/>
        <v>145</v>
      </c>
      <c r="BX405" s="72">
        <f t="shared" si="3552"/>
        <v>149</v>
      </c>
      <c r="BY405" s="71" t="str">
        <f t="shared" si="3553"/>
        <v>-</v>
      </c>
      <c r="BZ405" s="72">
        <f t="shared" si="3554"/>
        <v>185</v>
      </c>
      <c r="CA405" s="71" t="str">
        <f t="shared" si="3555"/>
        <v>-</v>
      </c>
      <c r="CB405" s="72">
        <f t="shared" si="3556"/>
        <v>226</v>
      </c>
      <c r="CC405" s="71">
        <f t="shared" si="3557"/>
        <v>258</v>
      </c>
      <c r="CD405" s="72">
        <f t="shared" si="3558"/>
        <v>268</v>
      </c>
      <c r="CE405" s="71">
        <f t="shared" si="3559"/>
        <v>304</v>
      </c>
      <c r="CF405" s="72">
        <f t="shared" si="3560"/>
        <v>339</v>
      </c>
      <c r="CG405" s="71" t="str">
        <f t="shared" si="3561"/>
        <v>-</v>
      </c>
      <c r="CH405" s="70">
        <f t="shared" si="3562"/>
        <v>144</v>
      </c>
      <c r="CI405" s="71">
        <f t="shared" si="3563"/>
        <v>148</v>
      </c>
      <c r="CJ405" s="72">
        <f t="shared" si="3564"/>
        <v>175</v>
      </c>
      <c r="CK405" s="72" t="str">
        <f t="shared" si="3565"/>
        <v>-</v>
      </c>
      <c r="CL405" s="72">
        <f t="shared" si="3566"/>
        <v>219</v>
      </c>
      <c r="CM405" s="72" t="str">
        <f t="shared" si="3567"/>
        <v>-</v>
      </c>
      <c r="CN405" s="72">
        <f t="shared" si="3568"/>
        <v>254</v>
      </c>
      <c r="CO405" s="72">
        <f t="shared" si="3569"/>
        <v>260</v>
      </c>
      <c r="CP405" s="72">
        <f t="shared" si="3570"/>
        <v>298</v>
      </c>
      <c r="CQ405" s="72">
        <f t="shared" si="3571"/>
        <v>332</v>
      </c>
      <c r="CR405" s="72">
        <f t="shared" si="3572"/>
        <v>362</v>
      </c>
      <c r="CS405" s="72" t="str">
        <f t="shared" si="3573"/>
        <v>-</v>
      </c>
      <c r="CT405" s="23">
        <f t="shared" si="3574"/>
        <v>1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si="2541"/>
        <v>crfr1_human_4Z9G_dist</v>
      </c>
      <c r="B406" s="3" t="s">
        <v>38</v>
      </c>
      <c r="C406" s="3" t="s">
        <v>1155</v>
      </c>
      <c r="D406" s="3" t="str">
        <f>IFERROR(MID(VLOOKUP($B406,Seqs!$A:$B,2,0),E406,1),"")</f>
        <v>S</v>
      </c>
      <c r="E406" s="3">
        <v>112</v>
      </c>
      <c r="F406" s="3" t="str">
        <f>IFERROR(MID(VLOOKUP($B406,Seqs!$A:$B,2,0),G406,1),"")</f>
        <v>L</v>
      </c>
      <c r="G406" s="3">
        <v>144</v>
      </c>
      <c r="H406" s="3" t="str">
        <f>IFERROR(MID(VLOOKUP($B406,Seqs!$A:$B,2,0),I406,1),"")</f>
        <v>R</v>
      </c>
      <c r="I406" s="23">
        <v>145</v>
      </c>
      <c r="J406" s="3" t="str">
        <f>IFERROR(MID(VLOOKUP($B406,Seqs!$A:$B,2,0),K406,1),"")</f>
        <v>R</v>
      </c>
      <c r="K406" s="23">
        <v>148</v>
      </c>
      <c r="L406" s="3" t="str">
        <f>IFERROR(MID(VLOOKUP($B406,Seqs!$A:$B,2,0),M406,1),"")</f>
        <v>C</v>
      </c>
      <c r="M406" s="23">
        <v>149</v>
      </c>
      <c r="N406" s="3" t="str">
        <f>IFERROR(MID(VLOOKUP($B406,Seqs!$A:$B,2,0),O406,1),"")</f>
        <v>T</v>
      </c>
      <c r="O406" s="3">
        <v>175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V</v>
      </c>
      <c r="U406" s="3">
        <v>185</v>
      </c>
      <c r="V406" s="3" t="str">
        <f>IFERROR(MID(VLOOKUP($B406,Seqs!$A:$B,2,0),W406,1),"")</f>
        <v>L</v>
      </c>
      <c r="W406" s="3">
        <v>219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L</v>
      </c>
      <c r="AC406" s="9">
        <v>226</v>
      </c>
      <c r="AD406" s="3" t="str">
        <f>IFERROR(MID(VLOOKUP($B406,Seqs!$A:$B,2,0),AE406,1),"")</f>
        <v>D</v>
      </c>
      <c r="AE406" s="3">
        <v>254</v>
      </c>
      <c r="AF406" s="3" t="str">
        <f>IFERROR(MID(VLOOKUP($B406,Seqs!$A:$B,2,0),AG406,1),"")</f>
        <v>C</v>
      </c>
      <c r="AG406" s="3">
        <v>258</v>
      </c>
      <c r="AH406" s="3" t="str">
        <f>IFERROR(MID(VLOOKUP($B406,Seqs!$A:$B,2,0),AI406,1),"")</f>
        <v>F</v>
      </c>
      <c r="AI406" s="3">
        <v>260</v>
      </c>
      <c r="AJ406" s="3" t="str">
        <f>IFERROR(MID(VLOOKUP($B406,Seqs!$A:$B,2,0),AK406,1),"")</f>
        <v>T</v>
      </c>
      <c r="AK406" s="3">
        <v>268</v>
      </c>
      <c r="AL406" s="3" t="str">
        <f>IFERROR(MID(VLOOKUP($B406,Seqs!$A:$B,2,0),AM406,1),"")</f>
        <v>L</v>
      </c>
      <c r="AM406" s="3">
        <v>298</v>
      </c>
      <c r="AN406" s="3" t="str">
        <f>IFERROR(MID(VLOOKUP($B406,Seqs!$A:$B,2,0),AO406,1),"")</f>
        <v>S</v>
      </c>
      <c r="AO406" s="3">
        <v>304</v>
      </c>
      <c r="AP406" s="3" t="str">
        <f>IFERROR(MID(VLOOKUP($B406,Seqs!$A:$B,2,0),AQ406,1),"")</f>
        <v>V</v>
      </c>
      <c r="AQ406" s="3">
        <v>332</v>
      </c>
      <c r="AR406" s="3" t="str">
        <f>IFERROR(MID(VLOOKUP($B406,Seqs!$A:$B,2,0),AS406,1),"")</f>
        <v>V</v>
      </c>
      <c r="AS406" s="3">
        <v>339</v>
      </c>
      <c r="AT406" s="3" t="str">
        <f>IFERROR(MID(VLOOKUP($B406,Seqs!$A:$B,2,0),AU406,1),"")</f>
        <v>E</v>
      </c>
      <c r="AU406" s="3">
        <v>369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B1</v>
      </c>
      <c r="BA406" s="94" t="str">
        <f>VLOOKUP(B406,Classification!A:D,4,0)</f>
        <v>Corticotropin-releasingfact</v>
      </c>
      <c r="BB406" s="27" t="b">
        <f t="shared" si="2542"/>
        <v>1</v>
      </c>
      <c r="BC406" s="23">
        <f t="shared" si="3549"/>
        <v>225</v>
      </c>
      <c r="BD406" s="56" t="s">
        <v>23</v>
      </c>
      <c r="BE406" s="3" t="s">
        <v>1368</v>
      </c>
      <c r="BF406" s="118">
        <v>3.18</v>
      </c>
      <c r="BG406" s="49" t="s">
        <v>1371</v>
      </c>
      <c r="BH406" s="49" t="s">
        <v>1371</v>
      </c>
      <c r="BI406" s="3" t="s">
        <v>1156</v>
      </c>
      <c r="BJ406" s="70" t="s">
        <v>1281</v>
      </c>
      <c r="BK406" s="57" t="s">
        <v>1281</v>
      </c>
      <c r="BL406" s="57" t="s">
        <v>1281</v>
      </c>
      <c r="BM406" s="57" t="s">
        <v>1281</v>
      </c>
      <c r="BN406" s="57" t="s">
        <v>1281</v>
      </c>
      <c r="BO406" s="57" t="s">
        <v>1281</v>
      </c>
      <c r="BP406" s="57" t="s">
        <v>1281</v>
      </c>
      <c r="BQ406" s="57" t="s">
        <v>1281</v>
      </c>
      <c r="BR406" s="57" t="s">
        <v>1281</v>
      </c>
      <c r="BS406" s="57" t="s">
        <v>1281</v>
      </c>
      <c r="BT406" s="57" t="s">
        <v>1281</v>
      </c>
      <c r="BU406" s="57" t="s">
        <v>1281</v>
      </c>
      <c r="BV406" s="70">
        <f t="shared" si="3550"/>
        <v>112</v>
      </c>
      <c r="BW406" s="71">
        <f t="shared" si="3551"/>
        <v>145</v>
      </c>
      <c r="BX406" s="72">
        <f t="shared" si="3552"/>
        <v>149</v>
      </c>
      <c r="BY406" s="71" t="str">
        <f t="shared" si="3553"/>
        <v>-</v>
      </c>
      <c r="BZ406" s="72">
        <f t="shared" si="3554"/>
        <v>185</v>
      </c>
      <c r="CA406" s="71" t="str">
        <f t="shared" si="3555"/>
        <v>-</v>
      </c>
      <c r="CB406" s="72">
        <f t="shared" si="3556"/>
        <v>226</v>
      </c>
      <c r="CC406" s="71">
        <f t="shared" si="3557"/>
        <v>258</v>
      </c>
      <c r="CD406" s="72">
        <f t="shared" si="3558"/>
        <v>268</v>
      </c>
      <c r="CE406" s="71">
        <f t="shared" si="3559"/>
        <v>304</v>
      </c>
      <c r="CF406" s="72">
        <f t="shared" si="3560"/>
        <v>339</v>
      </c>
      <c r="CG406" s="71" t="str">
        <f t="shared" si="3561"/>
        <v>-</v>
      </c>
      <c r="CH406" s="70">
        <f t="shared" si="3562"/>
        <v>144</v>
      </c>
      <c r="CI406" s="71">
        <f t="shared" si="3563"/>
        <v>148</v>
      </c>
      <c r="CJ406" s="72">
        <f t="shared" si="3564"/>
        <v>175</v>
      </c>
      <c r="CK406" s="72" t="str">
        <f t="shared" si="3565"/>
        <v>-</v>
      </c>
      <c r="CL406" s="72">
        <f t="shared" si="3566"/>
        <v>219</v>
      </c>
      <c r="CM406" s="72" t="str">
        <f t="shared" si="3567"/>
        <v>-</v>
      </c>
      <c r="CN406" s="72">
        <f t="shared" si="3568"/>
        <v>254</v>
      </c>
      <c r="CO406" s="72">
        <f t="shared" si="3569"/>
        <v>260</v>
      </c>
      <c r="CP406" s="72">
        <f t="shared" si="3570"/>
        <v>298</v>
      </c>
      <c r="CQ406" s="72">
        <f t="shared" si="3571"/>
        <v>332</v>
      </c>
      <c r="CR406" s="72">
        <f t="shared" si="3572"/>
        <v>369</v>
      </c>
      <c r="CS406" s="72" t="str">
        <f t="shared" si="3573"/>
        <v>-</v>
      </c>
      <c r="CT406" s="23">
        <f t="shared" si="3574"/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s="12" customFormat="1" x14ac:dyDescent="0.2">
      <c r="A407" s="9" t="str">
        <f t="shared" ref="A407:A408" si="3575">CONCATENATE(B407,"_",C407)</f>
        <v>crfr2_human__wt</v>
      </c>
      <c r="B407" s="9" t="s">
        <v>402</v>
      </c>
      <c r="C407" s="9" t="s">
        <v>100</v>
      </c>
      <c r="D407" s="9" t="str">
        <f>IFERROR(MID(VLOOKUP($B407,Seqs!$A:$B,2,0),E407,1),"")</f>
        <v>P</v>
      </c>
      <c r="E407" s="9">
        <v>100</v>
      </c>
      <c r="F407" s="9" t="str">
        <f>IFERROR(MID(VLOOKUP($B407,Seqs!$A:$B,2,0),G407,1),"")</f>
        <v>L</v>
      </c>
      <c r="G407" s="9">
        <v>141</v>
      </c>
      <c r="H407" s="9" t="str">
        <f>IFERROR(MID(VLOOKUP($B407,Seqs!$A:$B,2,0),I407,1),"")</f>
        <v>R</v>
      </c>
      <c r="I407" s="109">
        <v>142</v>
      </c>
      <c r="J407" s="9" t="str">
        <f>IFERROR(MID(VLOOKUP($B407,Seqs!$A:$B,2,0),K407,1),"")</f>
        <v>R</v>
      </c>
      <c r="K407" s="109">
        <v>145</v>
      </c>
      <c r="L407" s="9" t="str">
        <f>IFERROR(MID(VLOOKUP($B407,Seqs!$A:$B,2,0),M407,1),"")</f>
        <v>C</v>
      </c>
      <c r="M407" s="109">
        <v>146</v>
      </c>
      <c r="N407" s="9" t="str">
        <f>IFERROR(MID(VLOOKUP($B407,Seqs!$A:$B,2,0),O407,1),"")</f>
        <v>V</v>
      </c>
      <c r="O407" s="9">
        <v>172</v>
      </c>
      <c r="P407" s="9" t="str">
        <f>IFERROR(MID(VLOOKUP($B407,Seqs!$A:$B,2,0),Q407,1),"")</f>
        <v/>
      </c>
      <c r="Q407" s="9" t="s">
        <v>23</v>
      </c>
      <c r="R407" s="9" t="str">
        <f>IFERROR(MID(VLOOKUP($B407,Seqs!$A:$B,2,0),S407,1),"")</f>
        <v/>
      </c>
      <c r="S407" s="9" t="s">
        <v>23</v>
      </c>
      <c r="T407" s="9" t="str">
        <f>IFERROR(MID(VLOOKUP($B407,Seqs!$A:$B,2,0),U407,1),"")</f>
        <v>E</v>
      </c>
      <c r="U407" s="9">
        <v>181</v>
      </c>
      <c r="V407" s="9" t="str">
        <f>IFERROR(MID(VLOOKUP($B407,Seqs!$A:$B,2,0),W407,1),"")</f>
        <v>M</v>
      </c>
      <c r="W407" s="9">
        <v>215</v>
      </c>
      <c r="X407" s="9" t="str">
        <f>IFERROR(MID(VLOOKUP($B407,Seqs!$A:$B,2,0),Y407,1),"")</f>
        <v/>
      </c>
      <c r="Y407" s="9" t="s">
        <v>23</v>
      </c>
      <c r="Z407" s="9" t="str">
        <f>IFERROR(MID(VLOOKUP($B407,Seqs!$A:$B,2,0),AA407,1),"")</f>
        <v/>
      </c>
      <c r="AA407" s="9" t="s">
        <v>23</v>
      </c>
      <c r="AB407" s="9" t="str">
        <f>IFERROR(MID(VLOOKUP($B407,Seqs!$A:$B,2,0),AC407,1),"")</f>
        <v>R</v>
      </c>
      <c r="AC407" s="9">
        <v>223</v>
      </c>
      <c r="AD407" s="9" t="str">
        <f>IFERROR(MID(VLOOKUP($B407,Seqs!$A:$B,2,0),AE407,1),"")</f>
        <v>E</v>
      </c>
      <c r="AE407" s="9">
        <v>250</v>
      </c>
      <c r="AF407" s="9" t="str">
        <f>IFERROR(MID(VLOOKUP($B407,Seqs!$A:$B,2,0),AG407,1),"")</f>
        <v>C</v>
      </c>
      <c r="AG407" s="9">
        <v>254</v>
      </c>
      <c r="AH407" s="9" t="str">
        <f>IFERROR(MID(VLOOKUP($B407,Seqs!$A:$B,2,0),AI407,1),"")</f>
        <v>F</v>
      </c>
      <c r="AI407" s="9">
        <v>256</v>
      </c>
      <c r="AJ407" s="9" t="str">
        <f>IFERROR(MID(VLOOKUP($B407,Seqs!$A:$B,2,0),AK407,1),"")</f>
        <v>V</v>
      </c>
      <c r="AK407" s="9">
        <v>264</v>
      </c>
      <c r="AL407" s="9" t="str">
        <f>IFERROR(MID(VLOOKUP($B407,Seqs!$A:$B,2,0),AM407,1),"")</f>
        <v>A</v>
      </c>
      <c r="AM407" s="9">
        <v>296</v>
      </c>
      <c r="AN407" s="9" t="str">
        <f>IFERROR(MID(VLOOKUP($B407,Seqs!$A:$B,2,0),AO407,1),"")</f>
        <v>S</v>
      </c>
      <c r="AO407" s="9">
        <v>300</v>
      </c>
      <c r="AP407" s="9" t="str">
        <f>IFERROR(MID(VLOOKUP($B407,Seqs!$A:$B,2,0),AQ407,1),"")</f>
        <v>V</v>
      </c>
      <c r="AQ407" s="9">
        <v>328</v>
      </c>
      <c r="AR407" s="9" t="str">
        <f>IFERROR(MID(VLOOKUP($B407,Seqs!$A:$B,2,0),AS407,1),"")</f>
        <v>D</v>
      </c>
      <c r="AS407" s="9">
        <v>334</v>
      </c>
      <c r="AT407" s="9" t="str">
        <f>IFERROR(MID(VLOOKUP($B407,Seqs!$A:$B,2,0),AU407,1),"")</f>
        <v>F</v>
      </c>
      <c r="AU407" s="9">
        <v>362</v>
      </c>
      <c r="AV407" s="9" t="str">
        <f>IFERROR(MID(VLOOKUP($B407,Seqs!$A:$B,2,0),AW407,1),"")</f>
        <v>N</v>
      </c>
      <c r="AW407" s="9">
        <v>363</v>
      </c>
      <c r="AX407" s="9" t="str">
        <f>IFERROR(MID(VLOOKUP($B407,Seqs!$A:$B,2,0),AY407,1),"")</f>
        <v>A</v>
      </c>
      <c r="AY407" s="9">
        <v>388</v>
      </c>
      <c r="AZ407" s="110" t="str">
        <f>VLOOKUP(B407,Classification!A:D,2,0)</f>
        <v>B1</v>
      </c>
      <c r="BA407" s="98" t="str">
        <f>VLOOKUP(B407,Classification!A:D,4,0)</f>
        <v>Corticotropin-releasingfact</v>
      </c>
      <c r="BB407" s="36" t="b">
        <f t="shared" ref="BB407:BB408" si="3576"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109">
        <f t="shared" ref="BC407:BC408" si="3577">_xlfn.AGGREGATE(9,6,CH407:CS407)-_xlfn.AGGREGATE(9,6,BV407:CG407)+12</f>
        <v>258</v>
      </c>
      <c r="BD407" s="129" t="s">
        <v>23</v>
      </c>
      <c r="BE407" s="9" t="s">
        <v>23</v>
      </c>
      <c r="BF407" s="119" t="s">
        <v>23</v>
      </c>
      <c r="BG407" s="51" t="s">
        <v>1371</v>
      </c>
      <c r="BH407" s="51" t="s">
        <v>1371</v>
      </c>
      <c r="BI407" s="9"/>
      <c r="BJ407" s="111" t="s">
        <v>1281</v>
      </c>
      <c r="BK407" s="112" t="s">
        <v>1281</v>
      </c>
      <c r="BL407" s="112" t="s">
        <v>1281</v>
      </c>
      <c r="BM407" s="112" t="s">
        <v>1281</v>
      </c>
      <c r="BN407" s="112" t="s">
        <v>1281</v>
      </c>
      <c r="BO407" s="112" t="s">
        <v>1281</v>
      </c>
      <c r="BP407" s="112" t="s">
        <v>1281</v>
      </c>
      <c r="BQ407" s="112" t="s">
        <v>1281</v>
      </c>
      <c r="BR407" s="112" t="s">
        <v>1281</v>
      </c>
      <c r="BS407" s="112" t="s">
        <v>1281</v>
      </c>
      <c r="BT407" s="112" t="s">
        <v>1281</v>
      </c>
      <c r="BU407" s="112" t="s">
        <v>1281</v>
      </c>
      <c r="BV407" s="111">
        <f t="shared" ref="BV407:BV408" si="3578">E407</f>
        <v>100</v>
      </c>
      <c r="BW407" s="113">
        <f t="shared" ref="BW407:BW408" si="3579">I407</f>
        <v>142</v>
      </c>
      <c r="BX407" s="114">
        <f t="shared" ref="BX407:BX408" si="3580">M407</f>
        <v>146</v>
      </c>
      <c r="BY407" s="113" t="str">
        <f t="shared" ref="BY407:BY408" si="3581">Q407</f>
        <v>-</v>
      </c>
      <c r="BZ407" s="114">
        <f t="shared" ref="BZ407:BZ408" si="3582">U407</f>
        <v>181</v>
      </c>
      <c r="CA407" s="113" t="str">
        <f t="shared" ref="CA407:CA408" si="3583">Y407</f>
        <v>-</v>
      </c>
      <c r="CB407" s="114">
        <f t="shared" ref="CB407:CB408" si="3584">AC407</f>
        <v>223</v>
      </c>
      <c r="CC407" s="113">
        <f t="shared" ref="CC407:CC408" si="3585">AG407</f>
        <v>254</v>
      </c>
      <c r="CD407" s="114">
        <f t="shared" ref="CD407:CD408" si="3586">AK407</f>
        <v>264</v>
      </c>
      <c r="CE407" s="113">
        <f t="shared" ref="CE407:CE408" si="3587">AO407</f>
        <v>300</v>
      </c>
      <c r="CF407" s="114">
        <f t="shared" ref="CF407:CF408" si="3588">AS407</f>
        <v>334</v>
      </c>
      <c r="CG407" s="113">
        <f t="shared" ref="CG407:CG408" si="3589">AW407</f>
        <v>363</v>
      </c>
      <c r="CH407" s="111">
        <f t="shared" ref="CH407:CH408" si="3590">G407</f>
        <v>141</v>
      </c>
      <c r="CI407" s="113">
        <f t="shared" ref="CI407:CI408" si="3591">K407</f>
        <v>145</v>
      </c>
      <c r="CJ407" s="114">
        <f t="shared" ref="CJ407:CJ408" si="3592">O407</f>
        <v>172</v>
      </c>
      <c r="CK407" s="114" t="str">
        <f t="shared" ref="CK407:CK408" si="3593">S407</f>
        <v>-</v>
      </c>
      <c r="CL407" s="114">
        <f t="shared" ref="CL407:CL408" si="3594">W407</f>
        <v>215</v>
      </c>
      <c r="CM407" s="114" t="str">
        <f t="shared" ref="CM407:CM408" si="3595">AA407</f>
        <v>-</v>
      </c>
      <c r="CN407" s="114">
        <f t="shared" ref="CN407:CN408" si="3596">AE407</f>
        <v>250</v>
      </c>
      <c r="CO407" s="114">
        <f t="shared" ref="CO407:CO408" si="3597">AI407</f>
        <v>256</v>
      </c>
      <c r="CP407" s="114">
        <f t="shared" ref="CP407:CP408" si="3598">AM407</f>
        <v>296</v>
      </c>
      <c r="CQ407" s="114">
        <f t="shared" ref="CQ407:CQ408" si="3599">AQ407</f>
        <v>328</v>
      </c>
      <c r="CR407" s="114">
        <f t="shared" ref="CR407:CR408" si="3600">AU407</f>
        <v>362</v>
      </c>
      <c r="CS407" s="114">
        <f t="shared" ref="CS407:CS408" si="3601">AY407</f>
        <v>388</v>
      </c>
      <c r="CT407" s="109">
        <f t="shared" ref="CT407:CT408" si="3602">M407-K407</f>
        <v>1</v>
      </c>
    </row>
    <row r="408" spans="1:1030" s="12" customFormat="1" x14ac:dyDescent="0.2">
      <c r="A408" s="9" t="str">
        <f t="shared" si="3575"/>
        <v>crfr2_human_6PB1</v>
      </c>
      <c r="B408" s="9" t="s">
        <v>402</v>
      </c>
      <c r="C408" s="9" t="s">
        <v>1646</v>
      </c>
      <c r="D408" s="9" t="str">
        <f>IFERROR(MID(VLOOKUP($B408,Seqs!$A:$B,2,0),E408,1),"")</f>
        <v>L</v>
      </c>
      <c r="E408" s="9">
        <v>111</v>
      </c>
      <c r="F408" s="9" t="str">
        <f>IFERROR(MID(VLOOKUP($B408,Seqs!$A:$B,2,0),G408,1),"")</f>
        <v>L</v>
      </c>
      <c r="G408" s="9">
        <v>141</v>
      </c>
      <c r="H408" s="9" t="str">
        <f>IFERROR(MID(VLOOKUP($B408,Seqs!$A:$B,2,0),I408,1),"")</f>
        <v>R</v>
      </c>
      <c r="I408" s="109">
        <v>142</v>
      </c>
      <c r="J408" s="9" t="str">
        <f>IFERROR(MID(VLOOKUP($B408,Seqs!$A:$B,2,0),K408,1),"")</f>
        <v>R</v>
      </c>
      <c r="K408" s="109">
        <v>145</v>
      </c>
      <c r="L408" s="9" t="str">
        <f>IFERROR(MID(VLOOKUP($B408,Seqs!$A:$B,2,0),M408,1),"")</f>
        <v>C</v>
      </c>
      <c r="M408" s="109">
        <v>146</v>
      </c>
      <c r="N408" s="9" t="str">
        <f>IFERROR(MID(VLOOKUP($B408,Seqs!$A:$B,2,0),O408,1),"")</f>
        <v>Q</v>
      </c>
      <c r="O408" s="9">
        <v>170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V</v>
      </c>
      <c r="U408" s="9">
        <v>182</v>
      </c>
      <c r="V408" s="9" t="str">
        <f>IFERROR(MID(VLOOKUP($B408,Seqs!$A:$B,2,0),W408,1),"")</f>
        <v>M</v>
      </c>
      <c r="W408" s="9">
        <v>215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R</v>
      </c>
      <c r="AC408" s="9">
        <v>223</v>
      </c>
      <c r="AD408" s="9" t="str">
        <f>IFERROR(MID(VLOOKUP($B408,Seqs!$A:$B,2,0),AE408,1),"")</f>
        <v>E</v>
      </c>
      <c r="AE408" s="9">
        <v>250</v>
      </c>
      <c r="AF408" s="9" t="str">
        <f>IFERROR(MID(VLOOKUP($B408,Seqs!$A:$B,2,0),AG408,1),"")</f>
        <v>C</v>
      </c>
      <c r="AG408" s="9">
        <v>254</v>
      </c>
      <c r="AH408" s="9" t="str">
        <f>IFERROR(MID(VLOOKUP($B408,Seqs!$A:$B,2,0),AI408,1),"")</f>
        <v>F</v>
      </c>
      <c r="AI408" s="9">
        <v>256</v>
      </c>
      <c r="AJ408" s="9" t="str">
        <f>IFERROR(MID(VLOOKUP($B408,Seqs!$A:$B,2,0),AK408,1),"")</f>
        <v>V</v>
      </c>
      <c r="AK408" s="9">
        <v>264</v>
      </c>
      <c r="AL408" s="9" t="str">
        <f>IFERROR(MID(VLOOKUP($B408,Seqs!$A:$B,2,0),AM408,1),"")</f>
        <v>A</v>
      </c>
      <c r="AM408" s="9">
        <v>296</v>
      </c>
      <c r="AN408" s="9" t="str">
        <f>IFERROR(MID(VLOOKUP($B408,Seqs!$A:$B,2,0),AO408,1),"")</f>
        <v>S</v>
      </c>
      <c r="AO408" s="9">
        <v>300</v>
      </c>
      <c r="AP408" s="9" t="str">
        <f>IFERROR(MID(VLOOKUP($B408,Seqs!$A:$B,2,0),AQ408,1),"")</f>
        <v>L</v>
      </c>
      <c r="AQ408" s="9">
        <v>325</v>
      </c>
      <c r="AR408" s="9" t="str">
        <f>IFERROR(MID(VLOOKUP($B408,Seqs!$A:$B,2,0),AS408,1),"")</f>
        <v>D</v>
      </c>
      <c r="AS408" s="9">
        <v>334</v>
      </c>
      <c r="AT408" s="9" t="str">
        <f>IFERROR(MID(VLOOKUP($B408,Seqs!$A:$B,2,0),AU408,1),"")</f>
        <v>F</v>
      </c>
      <c r="AU408" s="9">
        <v>362</v>
      </c>
      <c r="AV408" s="9" t="str">
        <f>IFERROR(MID(VLOOKUP($B408,Seqs!$A:$B,2,0),AW408,1),"")</f>
        <v>N</v>
      </c>
      <c r="AW408" s="9">
        <v>363</v>
      </c>
      <c r="AX408" s="9" t="str">
        <f>IFERROR(MID(VLOOKUP($B408,Seqs!$A:$B,2,0),AY408,1),"")</f>
        <v>S</v>
      </c>
      <c r="AY408" s="9">
        <v>382</v>
      </c>
      <c r="AZ408" s="110" t="str">
        <f>VLOOKUP(B408,Classification!A:D,2,0)</f>
        <v>B1</v>
      </c>
      <c r="BA408" s="98" t="str">
        <f>VLOOKUP(B408,Classification!A:D,4,0)</f>
        <v>Corticotropin-releasingfact</v>
      </c>
      <c r="BB408" s="36" t="b">
        <f t="shared" si="3576"/>
        <v>1</v>
      </c>
      <c r="BC408" s="109">
        <f t="shared" si="3577"/>
        <v>235</v>
      </c>
      <c r="BD408" s="129" t="s">
        <v>1369</v>
      </c>
      <c r="BE408" s="9" t="s">
        <v>1285</v>
      </c>
      <c r="BF408" s="119">
        <v>2.8</v>
      </c>
      <c r="BG408" s="51" t="s">
        <v>1647</v>
      </c>
      <c r="BH408" s="51" t="s">
        <v>1647</v>
      </c>
      <c r="BI408" s="9"/>
      <c r="BJ408" s="111" t="s">
        <v>1281</v>
      </c>
      <c r="BK408" s="112" t="s">
        <v>1281</v>
      </c>
      <c r="BL408" s="112" t="s">
        <v>1281</v>
      </c>
      <c r="BM408" s="112" t="s">
        <v>1281</v>
      </c>
      <c r="BN408" s="112" t="s">
        <v>1281</v>
      </c>
      <c r="BO408" s="112" t="s">
        <v>1281</v>
      </c>
      <c r="BP408" s="112" t="s">
        <v>1281</v>
      </c>
      <c r="BQ408" s="112" t="s">
        <v>1281</v>
      </c>
      <c r="BR408" s="112" t="s">
        <v>1281</v>
      </c>
      <c r="BS408" s="112" t="s">
        <v>1281</v>
      </c>
      <c r="BT408" s="112" t="s">
        <v>1281</v>
      </c>
      <c r="BU408" s="112" t="s">
        <v>1281</v>
      </c>
      <c r="BV408" s="111">
        <f t="shared" si="3578"/>
        <v>111</v>
      </c>
      <c r="BW408" s="113">
        <f t="shared" si="3579"/>
        <v>142</v>
      </c>
      <c r="BX408" s="114">
        <f t="shared" si="3580"/>
        <v>146</v>
      </c>
      <c r="BY408" s="113" t="str">
        <f t="shared" si="3581"/>
        <v>-</v>
      </c>
      <c r="BZ408" s="114">
        <f t="shared" si="3582"/>
        <v>182</v>
      </c>
      <c r="CA408" s="113" t="str">
        <f t="shared" si="3583"/>
        <v>-</v>
      </c>
      <c r="CB408" s="114">
        <f t="shared" si="3584"/>
        <v>223</v>
      </c>
      <c r="CC408" s="113">
        <f t="shared" si="3585"/>
        <v>254</v>
      </c>
      <c r="CD408" s="114">
        <f t="shared" si="3586"/>
        <v>264</v>
      </c>
      <c r="CE408" s="113">
        <f t="shared" si="3587"/>
        <v>300</v>
      </c>
      <c r="CF408" s="114">
        <f t="shared" si="3588"/>
        <v>334</v>
      </c>
      <c r="CG408" s="113">
        <f t="shared" si="3589"/>
        <v>363</v>
      </c>
      <c r="CH408" s="111">
        <f t="shared" si="3590"/>
        <v>141</v>
      </c>
      <c r="CI408" s="113">
        <f t="shared" si="3591"/>
        <v>145</v>
      </c>
      <c r="CJ408" s="114">
        <f t="shared" si="3592"/>
        <v>170</v>
      </c>
      <c r="CK408" s="114" t="str">
        <f t="shared" si="3593"/>
        <v>-</v>
      </c>
      <c r="CL408" s="114">
        <f t="shared" si="3594"/>
        <v>215</v>
      </c>
      <c r="CM408" s="114" t="str">
        <f t="shared" si="3595"/>
        <v>-</v>
      </c>
      <c r="CN408" s="114">
        <f t="shared" si="3596"/>
        <v>250</v>
      </c>
      <c r="CO408" s="114">
        <f t="shared" si="3597"/>
        <v>256</v>
      </c>
      <c r="CP408" s="114">
        <f t="shared" si="3598"/>
        <v>296</v>
      </c>
      <c r="CQ408" s="114">
        <f t="shared" si="3599"/>
        <v>325</v>
      </c>
      <c r="CR408" s="114">
        <f t="shared" si="3600"/>
        <v>362</v>
      </c>
      <c r="CS408" s="114">
        <f t="shared" si="3601"/>
        <v>382</v>
      </c>
      <c r="CT408" s="109">
        <f t="shared" si="3602"/>
        <v>1</v>
      </c>
    </row>
    <row r="409" spans="1:1030" x14ac:dyDescent="0.2">
      <c r="A409" s="3" t="str">
        <f t="shared" si="2541"/>
        <v>glr_human__wt</v>
      </c>
      <c r="B409" s="3" t="s">
        <v>32</v>
      </c>
      <c r="C409" s="3" t="s">
        <v>100</v>
      </c>
      <c r="D409" s="3" t="str">
        <f>IFERROR(MID(VLOOKUP($B409,Seqs!$A:$B,2,0),E409,1),"")</f>
        <v>Q</v>
      </c>
      <c r="E409" s="105">
        <v>131</v>
      </c>
      <c r="F409" s="3" t="str">
        <f>IFERROR(MID(VLOOKUP($B409,Seqs!$A:$B,2,0),G409,1),"")</f>
        <v>L</v>
      </c>
      <c r="G409" s="3">
        <v>166</v>
      </c>
      <c r="H409" s="3" t="str">
        <f>IFERROR(MID(VLOOKUP($B409,Seqs!$A:$B,2,0),I409,1),"")</f>
        <v>S</v>
      </c>
      <c r="I409" s="23">
        <v>167</v>
      </c>
      <c r="J409" s="3" t="str">
        <f>IFERROR(MID(VLOOKUP($B409,Seqs!$A:$B,2,0),K409,1),"")</f>
        <v>H</v>
      </c>
      <c r="K409" s="23">
        <v>170</v>
      </c>
      <c r="L409" s="3" t="str">
        <f>IFERROR(MID(VLOOKUP($B409,Seqs!$A:$B,2,0),M409,1),"")</f>
        <v>C</v>
      </c>
      <c r="M409" s="23">
        <v>171</v>
      </c>
      <c r="N409" s="3" t="str">
        <f>IFERROR(MID(VLOOKUP($B409,Seqs!$A:$B,2,0),O409,1),"")</f>
        <v>S</v>
      </c>
      <c r="O409" s="105">
        <v>203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A</v>
      </c>
      <c r="U409" s="3">
        <v>220</v>
      </c>
      <c r="V409" s="3" t="str">
        <f>IFERROR(MID(VLOOKUP($B409,Seqs!$A:$B,2,0),W409,1),"")</f>
        <v>L</v>
      </c>
      <c r="W409" s="3">
        <v>255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S</v>
      </c>
      <c r="AC409" s="9">
        <v>262</v>
      </c>
      <c r="AD409" s="3" t="str">
        <f>IFERROR(MID(VLOOKUP($B409,Seqs!$A:$B,2,0),AE409,1),"")</f>
        <v>E</v>
      </c>
      <c r="AE409" s="3">
        <v>290</v>
      </c>
      <c r="AF409" s="3" t="str">
        <f>IFERROR(MID(VLOOKUP($B409,Seqs!$A:$B,2,0),AG409,1),"")</f>
        <v>C</v>
      </c>
      <c r="AG409" s="3">
        <v>294</v>
      </c>
      <c r="AH409" s="3" t="str">
        <f>IFERROR(MID(VLOOKUP($B409,Seqs!$A:$B,2,0),AI409,1),"")</f>
        <v>T</v>
      </c>
      <c r="AI409" s="3">
        <v>296</v>
      </c>
      <c r="AJ409" s="3" t="str">
        <f>IFERROR(MID(VLOOKUP($B409,Seqs!$A:$B,2,0),AK409,1),"")</f>
        <v>D</v>
      </c>
      <c r="AK409" s="105">
        <v>299</v>
      </c>
      <c r="AL409" s="3" t="str">
        <f>IFERROR(MID(VLOOKUP($B409,Seqs!$A:$B,2,0),AM409,1),"")</f>
        <v>A</v>
      </c>
      <c r="AM409" s="3">
        <v>335</v>
      </c>
      <c r="AN409" s="3" t="str">
        <f>IFERROR(MID(VLOOKUP($B409,Seqs!$A:$B,2,0),AO409,1),"")</f>
        <v>D</v>
      </c>
      <c r="AO409" s="3">
        <v>342</v>
      </c>
      <c r="AP409" s="3" t="str">
        <f>IFERROR(MID(VLOOKUP($B409,Seqs!$A:$B,2,0),AQ409,1),"")</f>
        <v>F</v>
      </c>
      <c r="AQ409" s="3">
        <v>367</v>
      </c>
      <c r="AR409" s="3" t="str">
        <f>IFERROR(MID(VLOOKUP($B409,Seqs!$A:$B,2,0),AS409,1),"")</f>
        <v>Q</v>
      </c>
      <c r="AS409" s="3">
        <v>374</v>
      </c>
      <c r="AT409" s="3" t="str">
        <f>IFERROR(MID(VLOOKUP($B409,Seqs!$A:$B,2,0),AU409,1),"")</f>
        <v>L</v>
      </c>
      <c r="AU409" s="3">
        <v>403</v>
      </c>
      <c r="AV409" s="3" t="str">
        <f>IFERROR(MID(VLOOKUP($B409,Seqs!$A:$B,2,0),AW409,1),"")</f>
        <v>N</v>
      </c>
      <c r="AW409" s="3">
        <v>404</v>
      </c>
      <c r="AX409" s="3" t="str">
        <f>IFERROR(MID(VLOOKUP($B409,Seqs!$A:$B,2,0),AY409,1),"")</f>
        <v>N</v>
      </c>
      <c r="AY409" s="3">
        <v>429</v>
      </c>
      <c r="AZ409" s="77" t="str">
        <f>VLOOKUP(B409,Classification!A:D,2,0)</f>
        <v>B1</v>
      </c>
      <c r="BA409" s="94" t="str">
        <f>VLOOKUP(B409,Classification!A:D,4,0)</f>
        <v>Glucagonreceptorfamily</v>
      </c>
      <c r="BB409" s="27" t="b">
        <f t="shared" si="2542"/>
        <v>1</v>
      </c>
      <c r="BC409" s="23">
        <f t="shared" si="3549"/>
        <v>262</v>
      </c>
      <c r="BD409" s="56" t="s">
        <v>23</v>
      </c>
      <c r="BE409" s="3" t="s">
        <v>23</v>
      </c>
      <c r="BF409" s="118" t="s">
        <v>23</v>
      </c>
      <c r="BG409" s="49" t="s">
        <v>1366</v>
      </c>
      <c r="BH409" s="49" t="s">
        <v>1371</v>
      </c>
      <c r="BI409" s="1"/>
      <c r="BJ409" s="70" t="s">
        <v>1281</v>
      </c>
      <c r="BK409" s="57" t="s">
        <v>1281</v>
      </c>
      <c r="BL409" s="57" t="s">
        <v>1281</v>
      </c>
      <c r="BM409" s="57" t="s">
        <v>1281</v>
      </c>
      <c r="BN409" s="57" t="s">
        <v>1281</v>
      </c>
      <c r="BO409" s="57" t="s">
        <v>1281</v>
      </c>
      <c r="BP409" s="57" t="s">
        <v>1281</v>
      </c>
      <c r="BQ409" s="57" t="s">
        <v>1281</v>
      </c>
      <c r="BR409" s="57" t="s">
        <v>1281</v>
      </c>
      <c r="BS409" s="57" t="s">
        <v>1281</v>
      </c>
      <c r="BT409" s="57" t="s">
        <v>1281</v>
      </c>
      <c r="BU409" s="57" t="s">
        <v>1281</v>
      </c>
      <c r="BV409" s="70">
        <f t="shared" si="3550"/>
        <v>131</v>
      </c>
      <c r="BW409" s="71">
        <f t="shared" si="3551"/>
        <v>167</v>
      </c>
      <c r="BX409" s="72">
        <f t="shared" si="3552"/>
        <v>171</v>
      </c>
      <c r="BY409" s="71" t="str">
        <f t="shared" si="3553"/>
        <v>-</v>
      </c>
      <c r="BZ409" s="72">
        <f t="shared" si="3554"/>
        <v>220</v>
      </c>
      <c r="CA409" s="71" t="str">
        <f t="shared" si="3555"/>
        <v>-</v>
      </c>
      <c r="CB409" s="72">
        <f t="shared" si="3556"/>
        <v>262</v>
      </c>
      <c r="CC409" s="71">
        <f t="shared" si="3557"/>
        <v>294</v>
      </c>
      <c r="CD409" s="72">
        <f t="shared" si="3558"/>
        <v>299</v>
      </c>
      <c r="CE409" s="71">
        <f t="shared" si="3559"/>
        <v>342</v>
      </c>
      <c r="CF409" s="72">
        <f t="shared" si="3560"/>
        <v>374</v>
      </c>
      <c r="CG409" s="71">
        <f t="shared" si="3561"/>
        <v>404</v>
      </c>
      <c r="CH409" s="70">
        <f t="shared" si="3562"/>
        <v>166</v>
      </c>
      <c r="CI409" s="71">
        <f t="shared" si="3563"/>
        <v>170</v>
      </c>
      <c r="CJ409" s="72">
        <f t="shared" si="3564"/>
        <v>203</v>
      </c>
      <c r="CK409" s="72" t="str">
        <f t="shared" si="3565"/>
        <v>-</v>
      </c>
      <c r="CL409" s="72">
        <f t="shared" si="3566"/>
        <v>255</v>
      </c>
      <c r="CM409" s="72" t="str">
        <f t="shared" si="3567"/>
        <v>-</v>
      </c>
      <c r="CN409" s="72">
        <f t="shared" si="3568"/>
        <v>290</v>
      </c>
      <c r="CO409" s="72">
        <f t="shared" si="3569"/>
        <v>296</v>
      </c>
      <c r="CP409" s="72">
        <f t="shared" si="3570"/>
        <v>335</v>
      </c>
      <c r="CQ409" s="72">
        <f t="shared" si="3571"/>
        <v>367</v>
      </c>
      <c r="CR409" s="72">
        <f t="shared" si="3572"/>
        <v>403</v>
      </c>
      <c r="CS409" s="72">
        <f t="shared" si="3573"/>
        <v>429</v>
      </c>
      <c r="CT409" s="23">
        <f t="shared" si="3574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30" x14ac:dyDescent="0.2">
      <c r="A410" s="3" t="str">
        <f t="shared" si="2541"/>
        <v>glr_human_4L6R</v>
      </c>
      <c r="B410" s="3" t="s">
        <v>32</v>
      </c>
      <c r="C410" s="3" t="s">
        <v>51</v>
      </c>
      <c r="D410" s="3" t="str">
        <f>IFERROR(MID(VLOOKUP($B410,Seqs!$A:$B,2,0),E410,1),"")</f>
        <v>G</v>
      </c>
      <c r="E410" s="3">
        <v>125</v>
      </c>
      <c r="F410" s="3" t="str">
        <f>IFERROR(MID(VLOOKUP($B410,Seqs!$A:$B,2,0),G410,1),"")</f>
        <v>G</v>
      </c>
      <c r="G410" s="3">
        <v>164</v>
      </c>
      <c r="H410" s="3" t="str">
        <f>IFERROR(MID(VLOOKUP($B410,Seqs!$A:$B,2,0),I410,1),"")</f>
        <v>S</v>
      </c>
      <c r="I410" s="23">
        <v>167</v>
      </c>
      <c r="J410" s="3" t="str">
        <f>IFERROR(MID(VLOOKUP($B410,Seqs!$A:$B,2,0),K410,1),"")</f>
        <v>H</v>
      </c>
      <c r="K410" s="23">
        <v>170</v>
      </c>
      <c r="L410" s="3" t="str">
        <f>IFERROR(MID(VLOOKUP($B410,Seqs!$A:$B,2,0),M410,1),"")</f>
        <v>C</v>
      </c>
      <c r="M410" s="23">
        <v>171</v>
      </c>
      <c r="N410" s="3" t="str">
        <f>IFERROR(MID(VLOOKUP($B410,Seqs!$A:$B,2,0),O410,1),"")</f>
        <v>R</v>
      </c>
      <c r="O410" s="3">
        <v>199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S</v>
      </c>
      <c r="U410" s="3">
        <v>217</v>
      </c>
      <c r="V410" s="3" t="str">
        <f>IFERROR(MID(VLOOKUP($B410,Seqs!$A:$B,2,0),W410,1),"")</f>
        <v>L</v>
      </c>
      <c r="W410" s="3">
        <v>255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A</v>
      </c>
      <c r="AC410" s="9">
        <v>274</v>
      </c>
      <c r="AD410" s="3" t="str">
        <f>IFERROR(MID(VLOOKUP($B410,Seqs!$A:$B,2,0),AE410,1),"")</f>
        <v>E</v>
      </c>
      <c r="AE410" s="3">
        <v>290</v>
      </c>
      <c r="AF410" s="3" t="str">
        <f>IFERROR(MID(VLOOKUP($B410,Seqs!$A:$B,2,0),AG410,1),"")</f>
        <v>C</v>
      </c>
      <c r="AG410" s="3">
        <v>294</v>
      </c>
      <c r="AH410" s="3" t="str">
        <f>IFERROR(MID(VLOOKUP($B410,Seqs!$A:$B,2,0),AI410,1),"")</f>
        <v>T</v>
      </c>
      <c r="AI410" s="3">
        <v>296</v>
      </c>
      <c r="AJ410" s="3" t="str">
        <f>IFERROR(MID(VLOOKUP($B410,Seqs!$A:$B,2,0),AK410,1),"")</f>
        <v>N</v>
      </c>
      <c r="AK410" s="3">
        <v>300</v>
      </c>
      <c r="AL410" s="3" t="str">
        <f>IFERROR(MID(VLOOKUP($B410,Seqs!$A:$B,2,0),AM410,1),"")</f>
        <v>A</v>
      </c>
      <c r="AM410" s="3">
        <v>335</v>
      </c>
      <c r="AN410" s="3" t="str">
        <f>IFERROR(MID(VLOOKUP($B410,Seqs!$A:$B,2,0),AO410,1),"")</f>
        <v>D</v>
      </c>
      <c r="AO410" s="3">
        <v>342</v>
      </c>
      <c r="AP410" s="3" t="str">
        <f>IFERROR(MID(VLOOKUP($B410,Seqs!$A:$B,2,0),AQ410,1),"")</f>
        <v>F</v>
      </c>
      <c r="AQ410" s="3">
        <v>367</v>
      </c>
      <c r="AR410" s="3" t="str">
        <f>IFERROR(MID(VLOOKUP($B410,Seqs!$A:$B,2,0),AS410,1),"")</f>
        <v>Q</v>
      </c>
      <c r="AS410" s="3">
        <v>374</v>
      </c>
      <c r="AT410" s="3" t="str">
        <f>IFERROR(MID(VLOOKUP($B410,Seqs!$A:$B,2,0),AU410,1),"")</f>
        <v>L</v>
      </c>
      <c r="AU410" s="3">
        <v>403</v>
      </c>
      <c r="AV410" s="3" t="str">
        <f>IFERROR(MID(VLOOKUP($B410,Seqs!$A:$B,2,0),AW410,1),"")</f>
        <v>N</v>
      </c>
      <c r="AW410" s="3">
        <v>404</v>
      </c>
      <c r="AX410" s="3" t="str">
        <f>IFERROR(MID(VLOOKUP($B410,Seqs!$A:$B,2,0),AY410,1),"")</f>
        <v>N</v>
      </c>
      <c r="AY410" s="3">
        <v>429</v>
      </c>
      <c r="AZ410" s="77" t="str">
        <f>VLOOKUP(B410,Classification!A:D,2,0)</f>
        <v>B1</v>
      </c>
      <c r="BA410" s="94" t="str">
        <f>VLOOKUP(B410,Classification!A:D,4,0)</f>
        <v>Glucagonreceptorfamily</v>
      </c>
      <c r="BB410" s="27" t="b">
        <f t="shared" si="2542"/>
        <v>1</v>
      </c>
      <c r="BC410" s="23">
        <f t="shared" si="3549"/>
        <v>252</v>
      </c>
      <c r="BD410" s="2" t="s">
        <v>23</v>
      </c>
      <c r="BE410" s="3" t="s">
        <v>1368</v>
      </c>
      <c r="BF410" s="118">
        <v>3.3</v>
      </c>
      <c r="BG410" s="49" t="s">
        <v>1371</v>
      </c>
      <c r="BH410" s="49" t="s">
        <v>1371</v>
      </c>
      <c r="BI410" s="1"/>
      <c r="BJ410" s="70" t="s">
        <v>1281</v>
      </c>
      <c r="BK410" s="57" t="s">
        <v>1281</v>
      </c>
      <c r="BL410" s="57" t="s">
        <v>1281</v>
      </c>
      <c r="BM410" s="57" t="s">
        <v>1281</v>
      </c>
      <c r="BN410" s="57" t="s">
        <v>1281</v>
      </c>
      <c r="BO410" s="57" t="s">
        <v>1281</v>
      </c>
      <c r="BP410" s="57" t="s">
        <v>1281</v>
      </c>
      <c r="BQ410" s="57" t="s">
        <v>1281</v>
      </c>
      <c r="BR410" s="57" t="s">
        <v>1281</v>
      </c>
      <c r="BS410" s="57" t="s">
        <v>1281</v>
      </c>
      <c r="BT410" s="57" t="s">
        <v>1281</v>
      </c>
      <c r="BU410" s="57" t="s">
        <v>1281</v>
      </c>
      <c r="BV410" s="70">
        <f t="shared" si="3550"/>
        <v>125</v>
      </c>
      <c r="BW410" s="71">
        <f t="shared" si="3551"/>
        <v>167</v>
      </c>
      <c r="BX410" s="72">
        <f t="shared" si="3552"/>
        <v>171</v>
      </c>
      <c r="BY410" s="71" t="str">
        <f t="shared" si="3553"/>
        <v>-</v>
      </c>
      <c r="BZ410" s="72">
        <f t="shared" si="3554"/>
        <v>217</v>
      </c>
      <c r="CA410" s="71" t="str">
        <f t="shared" si="3555"/>
        <v>-</v>
      </c>
      <c r="CB410" s="72">
        <f t="shared" si="3556"/>
        <v>274</v>
      </c>
      <c r="CC410" s="71">
        <f t="shared" si="3557"/>
        <v>294</v>
      </c>
      <c r="CD410" s="72">
        <f t="shared" si="3558"/>
        <v>300</v>
      </c>
      <c r="CE410" s="71">
        <f t="shared" si="3559"/>
        <v>342</v>
      </c>
      <c r="CF410" s="72">
        <f t="shared" si="3560"/>
        <v>374</v>
      </c>
      <c r="CG410" s="71">
        <f t="shared" si="3561"/>
        <v>404</v>
      </c>
      <c r="CH410" s="70">
        <f t="shared" si="3562"/>
        <v>164</v>
      </c>
      <c r="CI410" s="71">
        <f t="shared" si="3563"/>
        <v>170</v>
      </c>
      <c r="CJ410" s="72">
        <f t="shared" si="3564"/>
        <v>199</v>
      </c>
      <c r="CK410" s="72" t="str">
        <f t="shared" si="3565"/>
        <v>-</v>
      </c>
      <c r="CL410" s="72">
        <f t="shared" si="3566"/>
        <v>255</v>
      </c>
      <c r="CM410" s="72" t="str">
        <f t="shared" si="3567"/>
        <v>-</v>
      </c>
      <c r="CN410" s="72">
        <f t="shared" si="3568"/>
        <v>290</v>
      </c>
      <c r="CO410" s="72">
        <f t="shared" si="3569"/>
        <v>296</v>
      </c>
      <c r="CP410" s="72">
        <f t="shared" si="3570"/>
        <v>335</v>
      </c>
      <c r="CQ410" s="72">
        <f t="shared" si="3571"/>
        <v>367</v>
      </c>
      <c r="CR410" s="72">
        <f t="shared" si="3572"/>
        <v>403</v>
      </c>
      <c r="CS410" s="72">
        <f t="shared" si="3573"/>
        <v>429</v>
      </c>
      <c r="CT410" s="23">
        <f t="shared" si="3574"/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30" x14ac:dyDescent="0.2">
      <c r="A411" s="3" t="str">
        <f t="shared" si="2541"/>
        <v>glr_human_4L6R_dist</v>
      </c>
      <c r="B411" s="3" t="s">
        <v>32</v>
      </c>
      <c r="C411" s="3" t="s">
        <v>1270</v>
      </c>
      <c r="D411" s="3" t="str">
        <f>IFERROR(MID(VLOOKUP($B411,Seqs!$A:$B,2,0),E411,1),"")</f>
        <v>G</v>
      </c>
      <c r="E411" s="3">
        <v>125</v>
      </c>
      <c r="F411" s="3" t="str">
        <f>IFERROR(MID(VLOOKUP($B411,Seqs!$A:$B,2,0),G411,1),"")</f>
        <v>G</v>
      </c>
      <c r="G411" s="3">
        <v>164</v>
      </c>
      <c r="H411" s="3" t="str">
        <f>IFERROR(MID(VLOOKUP($B411,Seqs!$A:$B,2,0),I411,1),"")</f>
        <v>S</v>
      </c>
      <c r="I411" s="23">
        <v>167</v>
      </c>
      <c r="J411" s="3" t="str">
        <f>IFERROR(MID(VLOOKUP($B411,Seqs!$A:$B,2,0),K411,1),"")</f>
        <v>H</v>
      </c>
      <c r="K411" s="23">
        <v>170</v>
      </c>
      <c r="L411" s="3" t="str">
        <f>IFERROR(MID(VLOOKUP($B411,Seqs!$A:$B,2,0),M411,1),"")</f>
        <v>C</v>
      </c>
      <c r="M411" s="23">
        <v>171</v>
      </c>
      <c r="N411" s="3" t="str">
        <f>IFERROR(MID(VLOOKUP($B411,Seqs!$A:$B,2,0),O411,1),"")</f>
        <v>R</v>
      </c>
      <c r="O411" s="3">
        <v>199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S</v>
      </c>
      <c r="U411" s="3">
        <v>217</v>
      </c>
      <c r="V411" s="3" t="str">
        <f>IFERROR(MID(VLOOKUP($B411,Seqs!$A:$B,2,0),W411,1),"")</f>
        <v>L</v>
      </c>
      <c r="W411" s="3">
        <v>255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S</v>
      </c>
      <c r="AC411" s="9">
        <v>262</v>
      </c>
      <c r="AD411" s="3" t="str">
        <f>IFERROR(MID(VLOOKUP($B411,Seqs!$A:$B,2,0),AE411,1),"")</f>
        <v>E</v>
      </c>
      <c r="AE411" s="3">
        <v>290</v>
      </c>
      <c r="AF411" s="3" t="str">
        <f>IFERROR(MID(VLOOKUP($B411,Seqs!$A:$B,2,0),AG411,1),"")</f>
        <v>C</v>
      </c>
      <c r="AG411" s="3">
        <v>294</v>
      </c>
      <c r="AH411" s="3" t="str">
        <f>IFERROR(MID(VLOOKUP($B411,Seqs!$A:$B,2,0),AI411,1),"")</f>
        <v>T</v>
      </c>
      <c r="AI411" s="3">
        <v>296</v>
      </c>
      <c r="AJ411" s="3" t="str">
        <f>IFERROR(MID(VLOOKUP($B411,Seqs!$A:$B,2,0),AK411,1),"")</f>
        <v>N</v>
      </c>
      <c r="AK411" s="3">
        <v>300</v>
      </c>
      <c r="AL411" s="3" t="str">
        <f>IFERROR(MID(VLOOKUP($B411,Seqs!$A:$B,2,0),AM411,1),"")</f>
        <v>A</v>
      </c>
      <c r="AM411" s="3">
        <v>335</v>
      </c>
      <c r="AN411" s="3" t="str">
        <f>IFERROR(MID(VLOOKUP($B411,Seqs!$A:$B,2,0),AO411,1),"")</f>
        <v>D</v>
      </c>
      <c r="AO411" s="3">
        <v>342</v>
      </c>
      <c r="AP411" s="3" t="str">
        <f>IFERROR(MID(VLOOKUP($B411,Seqs!$A:$B,2,0),AQ411,1),"")</f>
        <v>F</v>
      </c>
      <c r="AQ411" s="3">
        <v>367</v>
      </c>
      <c r="AR411" s="3" t="str">
        <f>IFERROR(MID(VLOOKUP($B411,Seqs!$A:$B,2,0),AS411,1),"")</f>
        <v>Q</v>
      </c>
      <c r="AS411" s="3">
        <v>374</v>
      </c>
      <c r="AT411" s="3" t="str">
        <f>IFERROR(MID(VLOOKUP($B411,Seqs!$A:$B,2,0),AU411,1),"")</f>
        <v>L</v>
      </c>
      <c r="AU411" s="3">
        <v>403</v>
      </c>
      <c r="AV411" s="3" t="str">
        <f>IFERROR(MID(VLOOKUP($B411,Seqs!$A:$B,2,0),AW411,1),"")</f>
        <v>N</v>
      </c>
      <c r="AW411" s="3">
        <v>404</v>
      </c>
      <c r="AX411" s="3" t="str">
        <f>IFERROR(MID(VLOOKUP($B411,Seqs!$A:$B,2,0),AY411,1),"")</f>
        <v>N</v>
      </c>
      <c r="AY411" s="3">
        <v>429</v>
      </c>
      <c r="AZ411" s="77" t="str">
        <f>VLOOKUP(B411,Classification!A:D,2,0)</f>
        <v>B1</v>
      </c>
      <c r="BA411" s="94" t="str">
        <f>VLOOKUP(B411,Classification!A:D,4,0)</f>
        <v>Glucagonreceptorfamily</v>
      </c>
      <c r="BB411" s="27" t="b">
        <f t="shared" si="2542"/>
        <v>1</v>
      </c>
      <c r="BC411" s="23">
        <f t="shared" si="3549"/>
        <v>264</v>
      </c>
      <c r="BD411" s="56" t="s">
        <v>23</v>
      </c>
      <c r="BE411" s="3" t="s">
        <v>1368</v>
      </c>
      <c r="BF411" s="118">
        <v>3.3</v>
      </c>
      <c r="BG411" s="49" t="s">
        <v>1371</v>
      </c>
      <c r="BH411" s="49" t="s">
        <v>1371</v>
      </c>
      <c r="BI411" s="1"/>
      <c r="BJ411" s="70" t="s">
        <v>1281</v>
      </c>
      <c r="BK411" s="57" t="s">
        <v>1281</v>
      </c>
      <c r="BL411" s="57" t="s">
        <v>1281</v>
      </c>
      <c r="BM411" s="57" t="s">
        <v>1281</v>
      </c>
      <c r="BN411" s="57" t="s">
        <v>1281</v>
      </c>
      <c r="BO411" s="57" t="s">
        <v>1281</v>
      </c>
      <c r="BP411" s="57" t="s">
        <v>1281</v>
      </c>
      <c r="BQ411" s="57" t="s">
        <v>1281</v>
      </c>
      <c r="BR411" s="57" t="s">
        <v>1281</v>
      </c>
      <c r="BS411" s="57" t="s">
        <v>1281</v>
      </c>
      <c r="BT411" s="57" t="s">
        <v>1281</v>
      </c>
      <c r="BU411" s="57" t="s">
        <v>1281</v>
      </c>
      <c r="BV411" s="70">
        <f t="shared" si="3550"/>
        <v>125</v>
      </c>
      <c r="BW411" s="71">
        <f t="shared" si="3551"/>
        <v>167</v>
      </c>
      <c r="BX411" s="72">
        <f t="shared" si="3552"/>
        <v>171</v>
      </c>
      <c r="BY411" s="71" t="str">
        <f t="shared" si="3553"/>
        <v>-</v>
      </c>
      <c r="BZ411" s="72">
        <f t="shared" si="3554"/>
        <v>217</v>
      </c>
      <c r="CA411" s="71" t="str">
        <f t="shared" si="3555"/>
        <v>-</v>
      </c>
      <c r="CB411" s="72">
        <f t="shared" si="3556"/>
        <v>262</v>
      </c>
      <c r="CC411" s="71">
        <f t="shared" si="3557"/>
        <v>294</v>
      </c>
      <c r="CD411" s="72">
        <f t="shared" si="3558"/>
        <v>300</v>
      </c>
      <c r="CE411" s="71">
        <f t="shared" si="3559"/>
        <v>342</v>
      </c>
      <c r="CF411" s="72">
        <f t="shared" si="3560"/>
        <v>374</v>
      </c>
      <c r="CG411" s="71">
        <f t="shared" si="3561"/>
        <v>404</v>
      </c>
      <c r="CH411" s="70">
        <f t="shared" si="3562"/>
        <v>164</v>
      </c>
      <c r="CI411" s="71">
        <f t="shared" si="3563"/>
        <v>170</v>
      </c>
      <c r="CJ411" s="72">
        <f t="shared" si="3564"/>
        <v>199</v>
      </c>
      <c r="CK411" s="72" t="str">
        <f t="shared" si="3565"/>
        <v>-</v>
      </c>
      <c r="CL411" s="72">
        <f t="shared" si="3566"/>
        <v>255</v>
      </c>
      <c r="CM411" s="72" t="str">
        <f t="shared" si="3567"/>
        <v>-</v>
      </c>
      <c r="CN411" s="72">
        <f t="shared" si="3568"/>
        <v>290</v>
      </c>
      <c r="CO411" s="72">
        <f t="shared" si="3569"/>
        <v>296</v>
      </c>
      <c r="CP411" s="72">
        <f t="shared" si="3570"/>
        <v>335</v>
      </c>
      <c r="CQ411" s="72">
        <f t="shared" si="3571"/>
        <v>367</v>
      </c>
      <c r="CR411" s="72">
        <f t="shared" si="3572"/>
        <v>403</v>
      </c>
      <c r="CS411" s="72">
        <f t="shared" si="3573"/>
        <v>429</v>
      </c>
      <c r="CT411" s="23">
        <f t="shared" si="3574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30" x14ac:dyDescent="0.2">
      <c r="A412" s="3" t="str">
        <f t="shared" ref="A412:A456" si="3603">CONCATENATE(B412,"_",C412)</f>
        <v>glr_human_5EE7</v>
      </c>
      <c r="B412" s="3" t="s">
        <v>32</v>
      </c>
      <c r="C412" s="3" t="s">
        <v>49</v>
      </c>
      <c r="D412" s="3" t="str">
        <f>IFERROR(MID(VLOOKUP($B412,Seqs!$A:$B,2,0),E412,1),"")</f>
        <v>Y</v>
      </c>
      <c r="E412" s="3">
        <v>138</v>
      </c>
      <c r="F412" s="3" t="str">
        <f>IFERROR(MID(VLOOKUP($B412,Seqs!$A:$B,2,0),G412,1),"")</f>
        <v>L</v>
      </c>
      <c r="G412" s="3">
        <v>166</v>
      </c>
      <c r="H412" s="3" t="str">
        <f>IFERROR(MID(VLOOKUP($B412,Seqs!$A:$B,2,0),I412,1),"")</f>
        <v>S</v>
      </c>
      <c r="I412" s="23">
        <v>167</v>
      </c>
      <c r="J412" s="3" t="str">
        <f>IFERROR(MID(VLOOKUP($B412,Seqs!$A:$B,2,0),K412,1),"")</f>
        <v>H</v>
      </c>
      <c r="K412" s="23">
        <v>170</v>
      </c>
      <c r="L412" s="3" t="str">
        <f>IFERROR(MID(VLOOKUP($B412,Seqs!$A:$B,2,0),M412,1),"")</f>
        <v>C</v>
      </c>
      <c r="M412" s="23">
        <v>171</v>
      </c>
      <c r="N412" s="3" t="str">
        <f>IFERROR(MID(VLOOKUP($B412,Seqs!$A:$B,2,0),O412,1),"")</f>
        <v>R</v>
      </c>
      <c r="O412" s="3">
        <v>199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D</v>
      </c>
      <c r="U412" s="3">
        <v>218</v>
      </c>
      <c r="V412" s="3" t="str">
        <f>IFERROR(MID(VLOOKUP($B412,Seqs!$A:$B,2,0),W412,1),"")</f>
        <v>G</v>
      </c>
      <c r="W412" s="3">
        <v>254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S</v>
      </c>
      <c r="AC412" s="9">
        <v>262</v>
      </c>
      <c r="AD412" s="3" t="str">
        <f>IFERROR(MID(VLOOKUP($B412,Seqs!$A:$B,2,0),AE412,1),"")</f>
        <v>E</v>
      </c>
      <c r="AE412" s="3">
        <v>290</v>
      </c>
      <c r="AF412" s="3" t="str">
        <f>IFERROR(MID(VLOOKUP($B412,Seqs!$A:$B,2,0),AG412,1),"")</f>
        <v>C</v>
      </c>
      <c r="AG412" s="3">
        <v>294</v>
      </c>
      <c r="AH412" s="3" t="str">
        <f>IFERROR(MID(VLOOKUP($B412,Seqs!$A:$B,2,0),AI412,1),"")</f>
        <v>T</v>
      </c>
      <c r="AI412" s="3">
        <v>296</v>
      </c>
      <c r="AJ412" s="3" t="str">
        <f>IFERROR(MID(VLOOKUP($B412,Seqs!$A:$B,2,0),AK412,1),"")</f>
        <v>R</v>
      </c>
      <c r="AK412" s="105">
        <v>308</v>
      </c>
      <c r="AL412" s="3" t="str">
        <f>IFERROR(MID(VLOOKUP($B412,Seqs!$A:$B,2,0),AM412,1),"")</f>
        <v>A</v>
      </c>
      <c r="AM412" s="3">
        <v>335</v>
      </c>
      <c r="AN412" s="3" t="str">
        <f>IFERROR(MID(VLOOKUP($B412,Seqs!$A:$B,2,0),AO412,1),"")</f>
        <v>D</v>
      </c>
      <c r="AO412" s="3">
        <v>342</v>
      </c>
      <c r="AP412" s="3" t="str">
        <f>IFERROR(MID(VLOOKUP($B412,Seqs!$A:$B,2,0),AQ412,1),"")</f>
        <v>D</v>
      </c>
      <c r="AQ412" s="3">
        <v>370</v>
      </c>
      <c r="AR412" s="3" t="str">
        <f>IFERROR(MID(VLOOKUP($B412,Seqs!$A:$B,2,0),AS412,1),"")</f>
        <v>S</v>
      </c>
      <c r="AS412" s="3">
        <v>379</v>
      </c>
      <c r="AT412" s="3" t="str">
        <f>IFERROR(MID(VLOOKUP($B412,Seqs!$A:$B,2,0),AU412,1),"")</f>
        <v>F</v>
      </c>
      <c r="AU412" s="3">
        <v>402</v>
      </c>
      <c r="AV412" s="3" t="str">
        <f>IFERROR(MID(VLOOKUP($B412,Seqs!$A:$B,2,0),AW412,1),"")</f>
        <v>N</v>
      </c>
      <c r="AW412" s="3">
        <v>404</v>
      </c>
      <c r="AX412" s="3" t="str">
        <f>IFERROR(MID(VLOOKUP($B412,Seqs!$A:$B,2,0),AY412,1),"")</f>
        <v>R</v>
      </c>
      <c r="AY412" s="3">
        <v>417</v>
      </c>
      <c r="AZ412" s="77" t="str">
        <f>VLOOKUP(B412,Classification!A:D,2,0)</f>
        <v>B1</v>
      </c>
      <c r="BA412" s="94" t="str">
        <f>VLOOKUP(B412,Classification!A:D,4,0)</f>
        <v>Glucagonreceptorfamily</v>
      </c>
      <c r="BB412" s="27" t="b">
        <f t="shared" ref="BB412:BB456" si="3604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si="3549"/>
        <v>228</v>
      </c>
      <c r="BD412" s="4" t="s">
        <v>23</v>
      </c>
      <c r="BE412" s="3" t="s">
        <v>1368</v>
      </c>
      <c r="BF412" s="118">
        <v>2.5</v>
      </c>
      <c r="BG412" s="49" t="s">
        <v>1371</v>
      </c>
      <c r="BH412" s="49" t="s">
        <v>1371</v>
      </c>
      <c r="BI412" s="1"/>
      <c r="BJ412" s="70" t="s">
        <v>1281</v>
      </c>
      <c r="BK412" s="57" t="s">
        <v>1281</v>
      </c>
      <c r="BL412" s="57" t="s">
        <v>1281</v>
      </c>
      <c r="BM412" s="57" t="s">
        <v>1281</v>
      </c>
      <c r="BN412" s="57" t="s">
        <v>1281</v>
      </c>
      <c r="BO412" s="57" t="s">
        <v>1281</v>
      </c>
      <c r="BP412" s="57" t="s">
        <v>1281</v>
      </c>
      <c r="BQ412" s="57" t="s">
        <v>1281</v>
      </c>
      <c r="BR412" s="57" t="s">
        <v>1281</v>
      </c>
      <c r="BS412" s="57" t="s">
        <v>1281</v>
      </c>
      <c r="BT412" s="57" t="s">
        <v>1281</v>
      </c>
      <c r="BU412" s="57" t="s">
        <v>1281</v>
      </c>
      <c r="BV412" s="70">
        <f t="shared" si="3550"/>
        <v>138</v>
      </c>
      <c r="BW412" s="71">
        <f t="shared" si="3551"/>
        <v>167</v>
      </c>
      <c r="BX412" s="72">
        <f t="shared" si="3552"/>
        <v>171</v>
      </c>
      <c r="BY412" s="71" t="str">
        <f t="shared" si="3553"/>
        <v>-</v>
      </c>
      <c r="BZ412" s="72">
        <f t="shared" si="3554"/>
        <v>218</v>
      </c>
      <c r="CA412" s="71" t="str">
        <f t="shared" si="3555"/>
        <v>-</v>
      </c>
      <c r="CB412" s="72">
        <f t="shared" si="3556"/>
        <v>262</v>
      </c>
      <c r="CC412" s="71">
        <f t="shared" si="3557"/>
        <v>294</v>
      </c>
      <c r="CD412" s="72">
        <f t="shared" si="3558"/>
        <v>308</v>
      </c>
      <c r="CE412" s="71">
        <f t="shared" si="3559"/>
        <v>342</v>
      </c>
      <c r="CF412" s="72">
        <f t="shared" si="3560"/>
        <v>379</v>
      </c>
      <c r="CG412" s="71">
        <f t="shared" si="3561"/>
        <v>404</v>
      </c>
      <c r="CH412" s="70">
        <f t="shared" si="3562"/>
        <v>166</v>
      </c>
      <c r="CI412" s="71">
        <f t="shared" si="3563"/>
        <v>170</v>
      </c>
      <c r="CJ412" s="72">
        <f t="shared" si="3564"/>
        <v>199</v>
      </c>
      <c r="CK412" s="72" t="str">
        <f t="shared" si="3565"/>
        <v>-</v>
      </c>
      <c r="CL412" s="72">
        <f t="shared" si="3566"/>
        <v>254</v>
      </c>
      <c r="CM412" s="72" t="str">
        <f t="shared" si="3567"/>
        <v>-</v>
      </c>
      <c r="CN412" s="72">
        <f t="shared" si="3568"/>
        <v>290</v>
      </c>
      <c r="CO412" s="72">
        <f t="shared" si="3569"/>
        <v>296</v>
      </c>
      <c r="CP412" s="72">
        <f t="shared" si="3570"/>
        <v>335</v>
      </c>
      <c r="CQ412" s="72">
        <f t="shared" si="3571"/>
        <v>370</v>
      </c>
      <c r="CR412" s="72">
        <f t="shared" si="3572"/>
        <v>402</v>
      </c>
      <c r="CS412" s="72">
        <f t="shared" si="3573"/>
        <v>417</v>
      </c>
      <c r="CT412" s="23">
        <f t="shared" si="3574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30" x14ac:dyDescent="0.2">
      <c r="A413" s="3" t="str">
        <f t="shared" ref="A413:A428" si="3605">CONCATENATE(B413,"_",C413)</f>
        <v>glr_human_5XEZ</v>
      </c>
      <c r="B413" s="3" t="s">
        <v>32</v>
      </c>
      <c r="C413" s="3" t="s">
        <v>1403</v>
      </c>
      <c r="D413" s="3" t="str">
        <f>IFERROR(MID(VLOOKUP($B413,Seqs!$A:$B,2,0),E413,1),"")</f>
        <v>Q</v>
      </c>
      <c r="E413" s="3">
        <v>131</v>
      </c>
      <c r="F413" s="3" t="str">
        <f>IFERROR(MID(VLOOKUP($B413,Seqs!$A:$B,2,0),G413,1),"")</f>
        <v>G</v>
      </c>
      <c r="G413" s="3">
        <v>164</v>
      </c>
      <c r="H413" s="3" t="str">
        <f>IFERROR(MID(VLOOKUP($B413,Seqs!$A:$B,2,0),I413,1),"")</f>
        <v>S</v>
      </c>
      <c r="I413" s="23">
        <v>167</v>
      </c>
      <c r="J413" s="3" t="str">
        <f>IFERROR(MID(VLOOKUP($B413,Seqs!$A:$B,2,0),K413,1),"")</f>
        <v>H</v>
      </c>
      <c r="K413" s="23">
        <v>170</v>
      </c>
      <c r="L413" s="3" t="str">
        <f>IFERROR(MID(VLOOKUP($B413,Seqs!$A:$B,2,0),M413,1),"")</f>
        <v>C</v>
      </c>
      <c r="M413" s="23">
        <v>171</v>
      </c>
      <c r="N413" s="3" t="str">
        <f>IFERROR(MID(VLOOKUP($B413,Seqs!$A:$B,2,0),O413,1),"")</f>
        <v>R</v>
      </c>
      <c r="O413" s="3">
        <v>201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S</v>
      </c>
      <c r="U413" s="3">
        <v>217</v>
      </c>
      <c r="V413" s="3" t="str">
        <f>IFERROR(MID(VLOOKUP($B413,Seqs!$A:$B,2,0),W413,1),"")</f>
        <v>L</v>
      </c>
      <c r="W413" s="3">
        <v>255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E</v>
      </c>
      <c r="AC413" s="3">
        <v>260</v>
      </c>
      <c r="AD413" s="3" t="str">
        <f>IFERROR(MID(VLOOKUP($B413,Seqs!$A:$B,2,0),AE413,1),"")</f>
        <v>E</v>
      </c>
      <c r="AE413" s="3">
        <v>290</v>
      </c>
      <c r="AF413" s="3" t="str">
        <f>IFERROR(MID(VLOOKUP($B413,Seqs!$A:$B,2,0),AG413,1),"")</f>
        <v>C</v>
      </c>
      <c r="AG413" s="3">
        <v>294</v>
      </c>
      <c r="AH413" s="3" t="str">
        <f>IFERROR(MID(VLOOKUP($B413,Seqs!$A:$B,2,0),AI413,1),"")</f>
        <v>T</v>
      </c>
      <c r="AI413" s="3">
        <v>296</v>
      </c>
      <c r="AJ413" s="3" t="str">
        <f>IFERROR(MID(VLOOKUP($B413,Seqs!$A:$B,2,0),AK413,1),"")</f>
        <v>D</v>
      </c>
      <c r="AK413" s="3">
        <v>299</v>
      </c>
      <c r="AL413" s="3" t="str">
        <f>IFERROR(MID(VLOOKUP($B413,Seqs!$A:$B,2,0),AM413,1),"")</f>
        <v>R</v>
      </c>
      <c r="AM413" s="3">
        <v>334</v>
      </c>
      <c r="AN413" s="3" t="str">
        <f>IFERROR(MID(VLOOKUP($B413,Seqs!$A:$B,2,0),AO413,1),"")</f>
        <v>D</v>
      </c>
      <c r="AO413" s="3">
        <v>342</v>
      </c>
      <c r="AP413" s="3" t="str">
        <f>IFERROR(MID(VLOOKUP($B413,Seqs!$A:$B,2,0),AQ413,1),"")</f>
        <v>F</v>
      </c>
      <c r="AQ413" s="3">
        <v>367</v>
      </c>
      <c r="AR413" s="3" t="str">
        <f>IFERROR(MID(VLOOKUP($B413,Seqs!$A:$B,2,0),AS413,1),"")</f>
        <v>G</v>
      </c>
      <c r="AS413" s="3">
        <v>375</v>
      </c>
      <c r="AT413" s="3" t="str">
        <f>IFERROR(MID(VLOOKUP($B413,Seqs!$A:$B,2,0),AU413,1),"")</f>
        <v>L</v>
      </c>
      <c r="AU413" s="3">
        <v>403</v>
      </c>
      <c r="AV413" s="3" t="str">
        <f>IFERROR(MID(VLOOKUP($B413,Seqs!$A:$B,2,0),AW413,1),"")</f>
        <v>N</v>
      </c>
      <c r="AW413" s="3">
        <v>404</v>
      </c>
      <c r="AX413" s="3" t="str">
        <f>IFERROR(MID(VLOOKUP($B413,Seqs!$A:$B,2,0),AY413,1),"")</f>
        <v>W</v>
      </c>
      <c r="AY413" s="3">
        <v>415</v>
      </c>
      <c r="AZ413" s="77" t="str">
        <f>VLOOKUP(B413,Classification!A:D,2,0)</f>
        <v>B1</v>
      </c>
      <c r="BA413" s="94" t="str">
        <f>VLOOKUP(B413,Classification!A:D,4,0)</f>
        <v>Glucagonreceptorfamily</v>
      </c>
      <c r="BB413" s="27" t="b">
        <f t="shared" ref="BB413:BB428" si="3606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28" si="3607">_xlfn.AGGREGATE(9,6,CH413:CS413)-_xlfn.AGGREGATE(9,6,BV413:CG413)+12</f>
        <v>247</v>
      </c>
      <c r="BD413" s="4" t="s">
        <v>1370</v>
      </c>
      <c r="BE413" s="3" t="s">
        <v>1368</v>
      </c>
      <c r="BF413" s="118">
        <v>3</v>
      </c>
      <c r="BG413" s="49" t="s">
        <v>1275</v>
      </c>
      <c r="BH413" s="49" t="s">
        <v>1275</v>
      </c>
      <c r="BI413" s="1"/>
      <c r="BJ413" s="70" t="s">
        <v>1281</v>
      </c>
      <c r="BK413" s="57" t="s">
        <v>1281</v>
      </c>
      <c r="BL413" s="57" t="s">
        <v>1281</v>
      </c>
      <c r="BM413" s="57" t="s">
        <v>1281</v>
      </c>
      <c r="BN413" s="57" t="s">
        <v>1281</v>
      </c>
      <c r="BO413" s="57" t="s">
        <v>1281</v>
      </c>
      <c r="BP413" s="57" t="s">
        <v>1281</v>
      </c>
      <c r="BQ413" s="57" t="s">
        <v>1281</v>
      </c>
      <c r="BR413" s="57" t="s">
        <v>1281</v>
      </c>
      <c r="BS413" s="57" t="s">
        <v>1281</v>
      </c>
      <c r="BT413" s="57" t="s">
        <v>1281</v>
      </c>
      <c r="BU413" s="57" t="s">
        <v>1281</v>
      </c>
      <c r="BV413" s="70">
        <f t="shared" ref="BV413:BV428" si="3608">E413</f>
        <v>131</v>
      </c>
      <c r="BW413" s="71">
        <f t="shared" ref="BW413:BW428" si="3609">I413</f>
        <v>167</v>
      </c>
      <c r="BX413" s="72">
        <f t="shared" ref="BX413:BX428" si="3610">M413</f>
        <v>171</v>
      </c>
      <c r="BY413" s="71" t="str">
        <f t="shared" ref="BY413:BY428" si="3611">Q413</f>
        <v>-</v>
      </c>
      <c r="BZ413" s="72">
        <f t="shared" ref="BZ413:BZ428" si="3612">U413</f>
        <v>217</v>
      </c>
      <c r="CA413" s="71" t="str">
        <f t="shared" ref="CA413:CA428" si="3613">Y413</f>
        <v>-</v>
      </c>
      <c r="CB413" s="72">
        <f t="shared" ref="CB413:CB428" si="3614">AC413</f>
        <v>260</v>
      </c>
      <c r="CC413" s="71">
        <f t="shared" ref="CC413:CC428" si="3615">AG413</f>
        <v>294</v>
      </c>
      <c r="CD413" s="72">
        <f t="shared" ref="CD413:CD428" si="3616">AK413</f>
        <v>299</v>
      </c>
      <c r="CE413" s="71">
        <f t="shared" ref="CE413:CE428" si="3617">AO413</f>
        <v>342</v>
      </c>
      <c r="CF413" s="72">
        <f t="shared" ref="CF413:CF428" si="3618">AS413</f>
        <v>375</v>
      </c>
      <c r="CG413" s="71">
        <f t="shared" ref="CG413:CG428" si="3619">AW413</f>
        <v>404</v>
      </c>
      <c r="CH413" s="70">
        <f t="shared" ref="CH413:CH428" si="3620">G413</f>
        <v>164</v>
      </c>
      <c r="CI413" s="71">
        <f t="shared" ref="CI413:CI428" si="3621">K413</f>
        <v>170</v>
      </c>
      <c r="CJ413" s="72">
        <f t="shared" ref="CJ413:CJ428" si="3622">O413</f>
        <v>201</v>
      </c>
      <c r="CK413" s="72" t="str">
        <f t="shared" ref="CK413:CK428" si="3623">S413</f>
        <v>-</v>
      </c>
      <c r="CL413" s="72">
        <f t="shared" ref="CL413:CL428" si="3624">W413</f>
        <v>255</v>
      </c>
      <c r="CM413" s="72" t="str">
        <f t="shared" ref="CM413:CM428" si="3625">AA413</f>
        <v>-</v>
      </c>
      <c r="CN413" s="72">
        <f t="shared" ref="CN413:CN428" si="3626">AE413</f>
        <v>290</v>
      </c>
      <c r="CO413" s="72">
        <f t="shared" ref="CO413:CO428" si="3627">AI413</f>
        <v>296</v>
      </c>
      <c r="CP413" s="72">
        <f t="shared" ref="CP413:CP428" si="3628">AM413</f>
        <v>334</v>
      </c>
      <c r="CQ413" s="72">
        <f t="shared" ref="CQ413:CQ428" si="3629">AQ413</f>
        <v>367</v>
      </c>
      <c r="CR413" s="72">
        <f t="shared" ref="CR413:CR428" si="3630">AU413</f>
        <v>403</v>
      </c>
      <c r="CS413" s="72">
        <f t="shared" ref="CS413:CS428" si="3631">AY413</f>
        <v>415</v>
      </c>
      <c r="CT413" s="23">
        <f t="shared" ref="CT413:CT428" si="3632">M413-K413</f>
        <v>1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30" x14ac:dyDescent="0.2">
      <c r="A414" s="3" t="str">
        <f t="shared" si="3605"/>
        <v>glr_human_5XF1</v>
      </c>
      <c r="B414" s="3" t="s">
        <v>32</v>
      </c>
      <c r="C414" s="3" t="s">
        <v>1404</v>
      </c>
      <c r="D414" s="3" t="str">
        <f>IFERROR(MID(VLOOKUP($B414,Seqs!$A:$B,2,0),E414,1),"")</f>
        <v>Q</v>
      </c>
      <c r="E414" s="3">
        <v>131</v>
      </c>
      <c r="F414" s="3" t="str">
        <f>IFERROR(MID(VLOOKUP($B414,Seqs!$A:$B,2,0),G414,1),"")</f>
        <v>L</v>
      </c>
      <c r="G414" s="3">
        <v>166</v>
      </c>
      <c r="H414" s="3" t="str">
        <f>IFERROR(MID(VLOOKUP($B414,Seqs!$A:$B,2,0),I414,1),"")</f>
        <v>S</v>
      </c>
      <c r="I414" s="23">
        <v>167</v>
      </c>
      <c r="J414" s="3" t="str">
        <f>IFERROR(MID(VLOOKUP($B414,Seqs!$A:$B,2,0),K414,1),"")</f>
        <v>H</v>
      </c>
      <c r="K414" s="23">
        <v>170</v>
      </c>
      <c r="L414" s="3" t="str">
        <f>IFERROR(MID(VLOOKUP($B414,Seqs!$A:$B,2,0),M414,1),"")</f>
        <v>N</v>
      </c>
      <c r="M414" s="23">
        <v>174</v>
      </c>
      <c r="N414" s="3" t="str">
        <f>IFERROR(MID(VLOOKUP($B414,Seqs!$A:$B,2,0),O414,1),"")</f>
        <v>R</v>
      </c>
      <c r="O414" s="3">
        <v>201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S</v>
      </c>
      <c r="U414" s="3">
        <v>217</v>
      </c>
      <c r="V414" s="3" t="str">
        <f>IFERROR(MID(VLOOKUP($B414,Seqs!$A:$B,2,0),W414,1),"")</f>
        <v>L</v>
      </c>
      <c r="W414" s="3">
        <v>255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R</v>
      </c>
      <c r="AC414" s="3">
        <v>261</v>
      </c>
      <c r="AD414" s="3" t="str">
        <f>IFERROR(MID(VLOOKUP($B414,Seqs!$A:$B,2,0),AE414,1),"")</f>
        <v>F</v>
      </c>
      <c r="AE414" s="3">
        <v>289</v>
      </c>
      <c r="AF414" s="3" t="str">
        <f>IFERROR(MID(VLOOKUP($B414,Seqs!$A:$B,2,0),AG414,1),"")</f>
        <v>C</v>
      </c>
      <c r="AG414" s="3">
        <v>294</v>
      </c>
      <c r="AH414" s="3" t="str">
        <f>IFERROR(MID(VLOOKUP($B414,Seqs!$A:$B,2,0),AI414,1),"")</f>
        <v>T</v>
      </c>
      <c r="AI414" s="3">
        <v>296</v>
      </c>
      <c r="AJ414" s="3" t="str">
        <f>IFERROR(MID(VLOOKUP($B414,Seqs!$A:$B,2,0),AK414,1),"")</f>
        <v>D</v>
      </c>
      <c r="AK414" s="3">
        <v>299</v>
      </c>
      <c r="AL414" s="3" t="str">
        <f>IFERROR(MID(VLOOKUP($B414,Seqs!$A:$B,2,0),AM414,1),"")</f>
        <v>L</v>
      </c>
      <c r="AM414" s="3">
        <v>333</v>
      </c>
      <c r="AN414" s="3" t="str">
        <f>IFERROR(MID(VLOOKUP($B414,Seqs!$A:$B,2,0),AO414,1),"")</f>
        <v>D</v>
      </c>
      <c r="AO414" s="3">
        <v>342</v>
      </c>
      <c r="AP414" s="3" t="str">
        <f>IFERROR(MID(VLOOKUP($B414,Seqs!$A:$B,2,0),AQ414,1),"")</f>
        <v>V</v>
      </c>
      <c r="AQ414" s="3">
        <v>368</v>
      </c>
      <c r="AR414" s="3" t="str">
        <f>IFERROR(MID(VLOOKUP($B414,Seqs!$A:$B,2,0),AS414,1),"")</f>
        <v>L</v>
      </c>
      <c r="AS414" s="3">
        <v>377</v>
      </c>
      <c r="AT414" s="3" t="str">
        <f>IFERROR(MID(VLOOKUP($B414,Seqs!$A:$B,2,0),AU414,1),"")</f>
        <v>L</v>
      </c>
      <c r="AU414" s="3">
        <v>403</v>
      </c>
      <c r="AV414" s="3" t="str">
        <f>IFERROR(MID(VLOOKUP($B414,Seqs!$A:$B,2,0),AW414,1),"")</f>
        <v>N</v>
      </c>
      <c r="AW414" s="3">
        <v>404</v>
      </c>
      <c r="AX414" s="3" t="str">
        <f>IFERROR(MID(VLOOKUP($B414,Seqs!$A:$B,2,0),AY414,1),"")</f>
        <v>W</v>
      </c>
      <c r="AY414" s="3">
        <v>415</v>
      </c>
      <c r="AZ414" s="77" t="str">
        <f>VLOOKUP(B414,Classification!A:D,2,0)</f>
        <v>B1</v>
      </c>
      <c r="BA414" s="94" t="str">
        <f>VLOOKUP(B414,Classification!A:D,4,0)</f>
        <v>Glucagonreceptorfamily</v>
      </c>
      <c r="BB414" s="27" t="b">
        <f t="shared" si="3606"/>
        <v>1</v>
      </c>
      <c r="BC414" s="23">
        <f t="shared" si="3607"/>
        <v>242</v>
      </c>
      <c r="BD414" s="4" t="s">
        <v>23</v>
      </c>
      <c r="BE414" s="3" t="s">
        <v>1368</v>
      </c>
      <c r="BF414" s="118">
        <v>3.19</v>
      </c>
      <c r="BG414" s="49" t="s">
        <v>1275</v>
      </c>
      <c r="BH414" s="49" t="s">
        <v>1275</v>
      </c>
      <c r="BI414" s="1"/>
      <c r="BJ414" s="70" t="s">
        <v>1281</v>
      </c>
      <c r="BK414" s="57" t="s">
        <v>1281</v>
      </c>
      <c r="BL414" s="57" t="s">
        <v>1281</v>
      </c>
      <c r="BM414" s="57" t="s">
        <v>1281</v>
      </c>
      <c r="BN414" s="57" t="s">
        <v>1281</v>
      </c>
      <c r="BO414" s="57" t="s">
        <v>1281</v>
      </c>
      <c r="BP414" s="57" t="s">
        <v>1281</v>
      </c>
      <c r="BQ414" s="57" t="s">
        <v>1281</v>
      </c>
      <c r="BR414" s="57" t="s">
        <v>1281</v>
      </c>
      <c r="BS414" s="57" t="s">
        <v>1281</v>
      </c>
      <c r="BT414" s="57" t="s">
        <v>1281</v>
      </c>
      <c r="BU414" s="57" t="s">
        <v>1281</v>
      </c>
      <c r="BV414" s="70">
        <f t="shared" si="3608"/>
        <v>131</v>
      </c>
      <c r="BW414" s="71">
        <f t="shared" si="3609"/>
        <v>167</v>
      </c>
      <c r="BX414" s="72">
        <f t="shared" si="3610"/>
        <v>174</v>
      </c>
      <c r="BY414" s="71" t="str">
        <f t="shared" si="3611"/>
        <v>-</v>
      </c>
      <c r="BZ414" s="72">
        <f t="shared" si="3612"/>
        <v>217</v>
      </c>
      <c r="CA414" s="71" t="str">
        <f t="shared" si="3613"/>
        <v>-</v>
      </c>
      <c r="CB414" s="72">
        <f t="shared" si="3614"/>
        <v>261</v>
      </c>
      <c r="CC414" s="71">
        <f t="shared" si="3615"/>
        <v>294</v>
      </c>
      <c r="CD414" s="72">
        <f t="shared" si="3616"/>
        <v>299</v>
      </c>
      <c r="CE414" s="71">
        <f t="shared" si="3617"/>
        <v>342</v>
      </c>
      <c r="CF414" s="72">
        <f t="shared" si="3618"/>
        <v>377</v>
      </c>
      <c r="CG414" s="71">
        <f t="shared" si="3619"/>
        <v>404</v>
      </c>
      <c r="CH414" s="70">
        <f t="shared" si="3620"/>
        <v>166</v>
      </c>
      <c r="CI414" s="71">
        <f t="shared" si="3621"/>
        <v>170</v>
      </c>
      <c r="CJ414" s="72">
        <f t="shared" si="3622"/>
        <v>201</v>
      </c>
      <c r="CK414" s="72" t="str">
        <f t="shared" si="3623"/>
        <v>-</v>
      </c>
      <c r="CL414" s="72">
        <f t="shared" si="3624"/>
        <v>255</v>
      </c>
      <c r="CM414" s="72" t="str">
        <f t="shared" si="3625"/>
        <v>-</v>
      </c>
      <c r="CN414" s="72">
        <f t="shared" si="3626"/>
        <v>289</v>
      </c>
      <c r="CO414" s="72">
        <f t="shared" si="3627"/>
        <v>296</v>
      </c>
      <c r="CP414" s="72">
        <f t="shared" si="3628"/>
        <v>333</v>
      </c>
      <c r="CQ414" s="72">
        <f t="shared" si="3629"/>
        <v>368</v>
      </c>
      <c r="CR414" s="72">
        <f t="shared" si="3630"/>
        <v>403</v>
      </c>
      <c r="CS414" s="72">
        <f t="shared" si="3631"/>
        <v>415</v>
      </c>
      <c r="CT414" s="23">
        <f t="shared" si="3632"/>
        <v>4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30" x14ac:dyDescent="0.2">
      <c r="A415" s="3" t="str">
        <f t="shared" si="3605"/>
        <v>glr_human_5YQZ</v>
      </c>
      <c r="B415" s="3" t="s">
        <v>32</v>
      </c>
      <c r="C415" s="3" t="s">
        <v>1456</v>
      </c>
      <c r="D415" s="3" t="str">
        <f>IFERROR(MID(VLOOKUP($B415,Seqs!$A:$B,2,0),E415,1),"")</f>
        <v>D</v>
      </c>
      <c r="E415" s="3">
        <v>124</v>
      </c>
      <c r="F415" s="3" t="str">
        <f>IFERROR(MID(VLOOKUP($B415,Seqs!$A:$B,2,0),G415,1),"")</f>
        <v>L</v>
      </c>
      <c r="G415" s="3">
        <v>166</v>
      </c>
      <c r="H415" s="3" t="str">
        <f>IFERROR(MID(VLOOKUP($B415,Seqs!$A:$B,2,0),I415,1),"")</f>
        <v>S</v>
      </c>
      <c r="I415" s="23">
        <v>167</v>
      </c>
      <c r="J415" s="3" t="str">
        <f>IFERROR(MID(VLOOKUP($B415,Seqs!$A:$B,2,0),K415,1),"")</f>
        <v>H</v>
      </c>
      <c r="K415" s="23">
        <v>170</v>
      </c>
      <c r="L415" s="3" t="str">
        <f>IFERROR(MID(VLOOKUP($B415,Seqs!$A:$B,2,0),M415,1),"")</f>
        <v>C</v>
      </c>
      <c r="M415" s="23">
        <v>171</v>
      </c>
      <c r="N415" s="3" t="str">
        <f>IFERROR(MID(VLOOKUP($B415,Seqs!$A:$B,2,0),O415,1),"")</f>
        <v>S</v>
      </c>
      <c r="O415" s="3">
        <v>203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3">
        <v>220</v>
      </c>
      <c r="V415" s="3" t="str">
        <f>IFERROR(MID(VLOOKUP($B415,Seqs!$A:$B,2,0),W415,1),"")</f>
        <v>L</v>
      </c>
      <c r="W415" s="3">
        <v>255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F</v>
      </c>
      <c r="AC415" s="3">
        <v>263</v>
      </c>
      <c r="AD415" s="3" t="str">
        <f>IFERROR(MID(VLOOKUP($B415,Seqs!$A:$B,2,0),AE415,1),"")</f>
        <v>E</v>
      </c>
      <c r="AE415" s="3">
        <v>290</v>
      </c>
      <c r="AF415" s="3" t="str">
        <f>IFERROR(MID(VLOOKUP($B415,Seqs!$A:$B,2,0),AG415,1),"")</f>
        <v>C</v>
      </c>
      <c r="AG415" s="3">
        <v>294</v>
      </c>
      <c r="AH415" s="3" t="str">
        <f>IFERROR(MID(VLOOKUP($B415,Seqs!$A:$B,2,0),AI415,1),"")</f>
        <v>T</v>
      </c>
      <c r="AI415" s="3">
        <v>296</v>
      </c>
      <c r="AJ415" s="3" t="str">
        <f>IFERROR(MID(VLOOKUP($B415,Seqs!$A:$B,2,0),AK415,1),"")</f>
        <v>F</v>
      </c>
      <c r="AK415" s="3">
        <v>303</v>
      </c>
      <c r="AL415" s="3" t="str">
        <f>IFERROR(MID(VLOOKUP($B415,Seqs!$A:$B,2,0),AM415,1),"")</f>
        <v>A</v>
      </c>
      <c r="AM415" s="3">
        <v>335</v>
      </c>
      <c r="AN415" s="3" t="str">
        <f>IFERROR(MID(VLOOKUP($B415,Seqs!$A:$B,2,0),AO415,1),"")</f>
        <v>D</v>
      </c>
      <c r="AO415" s="3">
        <v>342</v>
      </c>
      <c r="AP415" s="3" t="str">
        <f>IFERROR(MID(VLOOKUP($B415,Seqs!$A:$B,2,0),AQ415,1),"")</f>
        <v>T</v>
      </c>
      <c r="AQ415" s="3">
        <v>369</v>
      </c>
      <c r="AR415" s="3" t="str">
        <f>IFERROR(MID(VLOOKUP($B415,Seqs!$A:$B,2,0),AS415,1),"")</f>
        <v>G</v>
      </c>
      <c r="AS415" s="3">
        <v>375</v>
      </c>
      <c r="AT415" s="3" t="str">
        <f>IFERROR(MID(VLOOKUP($B415,Seqs!$A:$B,2,0),AU415,1),"")</f>
        <v>L</v>
      </c>
      <c r="AU415" s="3">
        <v>403</v>
      </c>
      <c r="AV415" s="3" t="str">
        <f>IFERROR(MID(VLOOKUP($B415,Seqs!$A:$B,2,0),AW415,1),"")</f>
        <v>N</v>
      </c>
      <c r="AW415" s="3">
        <v>404</v>
      </c>
      <c r="AX415" s="3" t="str">
        <f>IFERROR(MID(VLOOKUP($B415,Seqs!$A:$B,2,0),AY415,1),"")</f>
        <v>E</v>
      </c>
      <c r="AY415" s="3">
        <v>426</v>
      </c>
      <c r="AZ415" s="77" t="str">
        <f>VLOOKUP(B415,Classification!A:D,2,0)</f>
        <v>B1</v>
      </c>
      <c r="BA415" s="94" t="str">
        <f>VLOOKUP(B415,Classification!A:D,4,0)</f>
        <v>Glucagonreceptorfamily</v>
      </c>
      <c r="BB415" s="27" t="b">
        <f t="shared" si="3606"/>
        <v>1</v>
      </c>
      <c r="BC415" s="23">
        <f t="shared" si="3607"/>
        <v>262</v>
      </c>
      <c r="BD415" s="4" t="s">
        <v>23</v>
      </c>
      <c r="BE415" s="3" t="s">
        <v>1368</v>
      </c>
      <c r="BF415" s="118">
        <v>3</v>
      </c>
      <c r="BG415" s="49" t="s">
        <v>1416</v>
      </c>
      <c r="BH415" s="49" t="s">
        <v>1416</v>
      </c>
      <c r="BI415" s="1"/>
      <c r="BJ415" s="70" t="s">
        <v>1281</v>
      </c>
      <c r="BK415" s="57" t="s">
        <v>1281</v>
      </c>
      <c r="BL415" s="57" t="s">
        <v>1281</v>
      </c>
      <c r="BM415" s="57" t="s">
        <v>1281</v>
      </c>
      <c r="BN415" s="57" t="s">
        <v>1281</v>
      </c>
      <c r="BO415" s="57" t="s">
        <v>1281</v>
      </c>
      <c r="BP415" s="57" t="s">
        <v>1281</v>
      </c>
      <c r="BQ415" s="57" t="s">
        <v>1281</v>
      </c>
      <c r="BR415" s="57" t="s">
        <v>1281</v>
      </c>
      <c r="BS415" s="57" t="s">
        <v>1281</v>
      </c>
      <c r="BT415" s="57" t="s">
        <v>1281</v>
      </c>
      <c r="BU415" s="57" t="s">
        <v>1281</v>
      </c>
      <c r="BV415" s="70">
        <f t="shared" si="3608"/>
        <v>124</v>
      </c>
      <c r="BW415" s="71">
        <f t="shared" si="3609"/>
        <v>167</v>
      </c>
      <c r="BX415" s="72">
        <f t="shared" si="3610"/>
        <v>171</v>
      </c>
      <c r="BY415" s="71" t="str">
        <f t="shared" si="3611"/>
        <v>-</v>
      </c>
      <c r="BZ415" s="72">
        <f t="shared" si="3612"/>
        <v>220</v>
      </c>
      <c r="CA415" s="71" t="str">
        <f t="shared" si="3613"/>
        <v>-</v>
      </c>
      <c r="CB415" s="72">
        <f t="shared" si="3614"/>
        <v>263</v>
      </c>
      <c r="CC415" s="71">
        <f t="shared" si="3615"/>
        <v>294</v>
      </c>
      <c r="CD415" s="72">
        <f t="shared" si="3616"/>
        <v>303</v>
      </c>
      <c r="CE415" s="71">
        <f t="shared" si="3617"/>
        <v>342</v>
      </c>
      <c r="CF415" s="72">
        <f t="shared" si="3618"/>
        <v>375</v>
      </c>
      <c r="CG415" s="71">
        <f t="shared" si="3619"/>
        <v>404</v>
      </c>
      <c r="CH415" s="70">
        <f t="shared" si="3620"/>
        <v>166</v>
      </c>
      <c r="CI415" s="71">
        <f t="shared" si="3621"/>
        <v>170</v>
      </c>
      <c r="CJ415" s="72">
        <f t="shared" si="3622"/>
        <v>203</v>
      </c>
      <c r="CK415" s="72" t="str">
        <f t="shared" si="3623"/>
        <v>-</v>
      </c>
      <c r="CL415" s="72">
        <f t="shared" si="3624"/>
        <v>255</v>
      </c>
      <c r="CM415" s="72" t="str">
        <f t="shared" si="3625"/>
        <v>-</v>
      </c>
      <c r="CN415" s="72">
        <f t="shared" si="3626"/>
        <v>290</v>
      </c>
      <c r="CO415" s="72">
        <f t="shared" si="3627"/>
        <v>296</v>
      </c>
      <c r="CP415" s="72">
        <f t="shared" si="3628"/>
        <v>335</v>
      </c>
      <c r="CQ415" s="72">
        <f t="shared" si="3629"/>
        <v>369</v>
      </c>
      <c r="CR415" s="72">
        <f t="shared" si="3630"/>
        <v>403</v>
      </c>
      <c r="CS415" s="72">
        <f t="shared" si="3631"/>
        <v>426</v>
      </c>
      <c r="CT415" s="23">
        <f t="shared" si="3632"/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30" s="12" customFormat="1" x14ac:dyDescent="0.2">
      <c r="A416" s="9" t="str">
        <f t="shared" ref="A416" si="3633">CONCATENATE(B416,"_",C416)</f>
        <v>glr_human_6LMK</v>
      </c>
      <c r="B416" s="9" t="s">
        <v>32</v>
      </c>
      <c r="C416" s="9" t="s">
        <v>1669</v>
      </c>
      <c r="D416" s="9" t="str">
        <f>IFERROR(MID(VLOOKUP($B416,Seqs!$A:$B,2,0),E416,1),"")</f>
        <v>D</v>
      </c>
      <c r="E416" s="9">
        <v>124</v>
      </c>
      <c r="F416" s="9" t="str">
        <f>IFERROR(MID(VLOOKUP($B416,Seqs!$A:$B,2,0),G416,1),"")</f>
        <v>G</v>
      </c>
      <c r="G416" s="9">
        <v>165</v>
      </c>
      <c r="H416" s="9" t="str">
        <f>IFERROR(MID(VLOOKUP($B416,Seqs!$A:$B,2,0),I416,1),"")</f>
        <v/>
      </c>
      <c r="I416" s="109" t="s">
        <v>23</v>
      </c>
      <c r="J416" s="9" t="str">
        <f>IFERROR(MID(VLOOKUP($B416,Seqs!$A:$B,2,0),K416,1),"")</f>
        <v/>
      </c>
      <c r="K416" s="109" t="s">
        <v>23</v>
      </c>
      <c r="L416" s="9" t="str">
        <f>IFERROR(MID(VLOOKUP($B416,Seqs!$A:$B,2,0),M416,1),"")</f>
        <v>C</v>
      </c>
      <c r="M416" s="109">
        <v>171</v>
      </c>
      <c r="N416" s="9" t="str">
        <f>IFERROR(MID(VLOOKUP($B416,Seqs!$A:$B,2,0),O416,1),"")</f>
        <v>S</v>
      </c>
      <c r="O416" s="9">
        <v>203</v>
      </c>
      <c r="P416" s="9" t="str">
        <f>IFERROR(MID(VLOOKUP($B416,Seqs!$A:$B,2,0),Q416,1),"")</f>
        <v/>
      </c>
      <c r="Q416" s="9" t="s">
        <v>23</v>
      </c>
      <c r="R416" s="9" t="str">
        <f>IFERROR(MID(VLOOKUP($B416,Seqs!$A:$B,2,0),S416,1),"")</f>
        <v/>
      </c>
      <c r="S416" s="9" t="s">
        <v>23</v>
      </c>
      <c r="T416" s="9" t="str">
        <f>IFERROR(MID(VLOOKUP($B416,Seqs!$A:$B,2,0),U416,1),"")</f>
        <v>A</v>
      </c>
      <c r="U416" s="9">
        <v>220</v>
      </c>
      <c r="V416" s="9" t="str">
        <f>IFERROR(MID(VLOOKUP($B416,Seqs!$A:$B,2,0),W416,1),"")</f>
        <v>L</v>
      </c>
      <c r="W416" s="9">
        <v>253</v>
      </c>
      <c r="X416" s="9" t="str">
        <f>IFERROR(MID(VLOOKUP($B416,Seqs!$A:$B,2,0),Y416,1),"")</f>
        <v/>
      </c>
      <c r="Y416" s="9" t="s">
        <v>23</v>
      </c>
      <c r="Z416" s="9" t="str">
        <f>IFERROR(MID(VLOOKUP($B416,Seqs!$A:$B,2,0),AA416,1),"")</f>
        <v/>
      </c>
      <c r="AA416" s="9" t="s">
        <v>23</v>
      </c>
      <c r="AB416" s="9" t="str">
        <f>IFERROR(MID(VLOOKUP($B416,Seqs!$A:$B,2,0),AC416,1),"")</f>
        <v>F</v>
      </c>
      <c r="AC416" s="9">
        <v>263</v>
      </c>
      <c r="AD416" s="9" t="str">
        <f>IFERROR(MID(VLOOKUP($B416,Seqs!$A:$B,2,0),AE416,1),"")</f>
        <v>E</v>
      </c>
      <c r="AE416" s="9">
        <v>290</v>
      </c>
      <c r="AF416" s="9" t="str">
        <f>IFERROR(MID(VLOOKUP($B416,Seqs!$A:$B,2,0),AG416,1),"")</f>
        <v>C</v>
      </c>
      <c r="AG416" s="9">
        <v>294</v>
      </c>
      <c r="AH416" s="9" t="str">
        <f>IFERROR(MID(VLOOKUP($B416,Seqs!$A:$B,2,0),AI416,1),"")</f>
        <v>T</v>
      </c>
      <c r="AI416" s="9">
        <v>296</v>
      </c>
      <c r="AJ416" s="9" t="str">
        <f>IFERROR(MID(VLOOKUP($B416,Seqs!$A:$B,2,0),AK416,1),"")</f>
        <v>W</v>
      </c>
      <c r="AK416" s="9">
        <v>304</v>
      </c>
      <c r="AL416" s="9" t="str">
        <f>IFERROR(MID(VLOOKUP($B416,Seqs!$A:$B,2,0),AM416,1),"")</f>
        <v>R</v>
      </c>
      <c r="AM416" s="9">
        <v>334</v>
      </c>
      <c r="AN416" s="9" t="str">
        <f>IFERROR(MID(VLOOKUP($B416,Seqs!$A:$B,2,0),AO416,1),"")</f>
        <v>D</v>
      </c>
      <c r="AO416" s="9">
        <v>342</v>
      </c>
      <c r="AP416" s="9" t="str">
        <f>IFERROR(MID(VLOOKUP($B416,Seqs!$A:$B,2,0),AQ416,1),"")</f>
        <v>A</v>
      </c>
      <c r="AQ416" s="9">
        <v>366</v>
      </c>
      <c r="AR416" s="9" t="str">
        <f>IFERROR(MID(VLOOKUP($B416,Seqs!$A:$B,2,0),AS416,1),"")</f>
        <v>Q</v>
      </c>
      <c r="AS416" s="9">
        <v>374</v>
      </c>
      <c r="AT416" s="9" t="str">
        <f>IFERROR(MID(VLOOKUP($B416,Seqs!$A:$B,2,0),AU416,1),"")</f>
        <v>L</v>
      </c>
      <c r="AU416" s="9">
        <v>403</v>
      </c>
      <c r="AV416" s="9" t="str">
        <f>IFERROR(MID(VLOOKUP($B416,Seqs!$A:$B,2,0),AW416,1),"")</f>
        <v>N</v>
      </c>
      <c r="AW416" s="9">
        <v>404</v>
      </c>
      <c r="AX416" s="9" t="str">
        <f>IFERROR(MID(VLOOKUP($B416,Seqs!$A:$B,2,0),AY416,1),"")</f>
        <v>R</v>
      </c>
      <c r="AY416" s="9">
        <v>419</v>
      </c>
      <c r="AZ416" s="110" t="str">
        <f>VLOOKUP(B416,Classification!A:D,2,0)</f>
        <v>B1</v>
      </c>
      <c r="BA416" s="98" t="str">
        <f>VLOOKUP(B416,Classification!A:D,4,0)</f>
        <v>Glucagonreceptorfamily</v>
      </c>
      <c r="BB416" s="36" t="b">
        <f t="shared" ref="BB416" si="3634"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109">
        <f t="shared" ref="BC416" si="3635">_xlfn.AGGREGATE(9,6,CH416:CS416)-_xlfn.AGGREGATE(9,6,BV416:CG416)+12</f>
        <v>245</v>
      </c>
      <c r="BD416" s="11" t="s">
        <v>1369</v>
      </c>
      <c r="BE416" s="9" t="s">
        <v>1285</v>
      </c>
      <c r="BF416" s="119">
        <v>3.7</v>
      </c>
      <c r="BG416" s="51" t="s">
        <v>1416</v>
      </c>
      <c r="BH416" s="51" t="s">
        <v>1416</v>
      </c>
      <c r="BJ416" s="111" t="s">
        <v>1281</v>
      </c>
      <c r="BK416" s="112" t="s">
        <v>1281</v>
      </c>
      <c r="BL416" s="112" t="s">
        <v>1281</v>
      </c>
      <c r="BM416" s="112" t="s">
        <v>1281</v>
      </c>
      <c r="BN416" s="112" t="s">
        <v>1281</v>
      </c>
      <c r="BO416" s="112" t="s">
        <v>1281</v>
      </c>
      <c r="BP416" s="112" t="s">
        <v>1281</v>
      </c>
      <c r="BQ416" s="112" t="s">
        <v>1281</v>
      </c>
      <c r="BR416" s="112" t="s">
        <v>1281</v>
      </c>
      <c r="BS416" s="112" t="s">
        <v>1281</v>
      </c>
      <c r="BT416" s="112" t="s">
        <v>1281</v>
      </c>
      <c r="BU416" s="112" t="s">
        <v>1281</v>
      </c>
      <c r="BV416" s="111">
        <f t="shared" ref="BV416" si="3636">E416</f>
        <v>124</v>
      </c>
      <c r="BW416" s="113" t="str">
        <f t="shared" ref="BW416" si="3637">I416</f>
        <v>-</v>
      </c>
      <c r="BX416" s="114">
        <f t="shared" ref="BX416" si="3638">M416</f>
        <v>171</v>
      </c>
      <c r="BY416" s="113" t="str">
        <f t="shared" ref="BY416" si="3639">Q416</f>
        <v>-</v>
      </c>
      <c r="BZ416" s="114">
        <f t="shared" ref="BZ416" si="3640">U416</f>
        <v>220</v>
      </c>
      <c r="CA416" s="113" t="str">
        <f t="shared" ref="CA416" si="3641">Y416</f>
        <v>-</v>
      </c>
      <c r="CB416" s="114">
        <f t="shared" ref="CB416" si="3642">AC416</f>
        <v>263</v>
      </c>
      <c r="CC416" s="113">
        <f t="shared" ref="CC416" si="3643">AG416</f>
        <v>294</v>
      </c>
      <c r="CD416" s="114">
        <f t="shared" ref="CD416" si="3644">AK416</f>
        <v>304</v>
      </c>
      <c r="CE416" s="113">
        <f t="shared" ref="CE416" si="3645">AO416</f>
        <v>342</v>
      </c>
      <c r="CF416" s="114">
        <f t="shared" ref="CF416" si="3646">AS416</f>
        <v>374</v>
      </c>
      <c r="CG416" s="113">
        <f t="shared" ref="CG416" si="3647">AW416</f>
        <v>404</v>
      </c>
      <c r="CH416" s="111">
        <f t="shared" ref="CH416" si="3648">G416</f>
        <v>165</v>
      </c>
      <c r="CI416" s="113" t="str">
        <f t="shared" ref="CI416" si="3649">K416</f>
        <v>-</v>
      </c>
      <c r="CJ416" s="114">
        <f t="shared" ref="CJ416" si="3650">O416</f>
        <v>203</v>
      </c>
      <c r="CK416" s="114" t="str">
        <f t="shared" ref="CK416" si="3651">S416</f>
        <v>-</v>
      </c>
      <c r="CL416" s="114">
        <f t="shared" ref="CL416" si="3652">W416</f>
        <v>253</v>
      </c>
      <c r="CM416" s="114" t="str">
        <f t="shared" ref="CM416" si="3653">AA416</f>
        <v>-</v>
      </c>
      <c r="CN416" s="114">
        <f t="shared" ref="CN416" si="3654">AE416</f>
        <v>290</v>
      </c>
      <c r="CO416" s="114">
        <f t="shared" ref="CO416" si="3655">AI416</f>
        <v>296</v>
      </c>
      <c r="CP416" s="114">
        <f t="shared" ref="CP416" si="3656">AM416</f>
        <v>334</v>
      </c>
      <c r="CQ416" s="114">
        <f t="shared" ref="CQ416" si="3657">AQ416</f>
        <v>366</v>
      </c>
      <c r="CR416" s="114">
        <f t="shared" ref="CR416" si="3658">AU416</f>
        <v>403</v>
      </c>
      <c r="CS416" s="114">
        <f t="shared" ref="CS416" si="3659">AY416</f>
        <v>419</v>
      </c>
      <c r="CT416" s="109" t="e">
        <f t="shared" ref="CT416" si="3660">M416-K416</f>
        <v>#VALUE!</v>
      </c>
    </row>
    <row r="417" spans="1:1029" s="12" customFormat="1" x14ac:dyDescent="0.2">
      <c r="A417" s="9" t="str">
        <f t="shared" ref="A417" si="3661">CONCATENATE(B417,"_",C417)</f>
        <v>glr_human_6LML</v>
      </c>
      <c r="B417" s="9" t="s">
        <v>32</v>
      </c>
      <c r="C417" s="9" t="s">
        <v>1670</v>
      </c>
      <c r="D417" s="9" t="str">
        <f>IFERROR(MID(VLOOKUP($B417,Seqs!$A:$B,2,0),E417,1),"")</f>
        <v>D</v>
      </c>
      <c r="E417" s="9">
        <v>124</v>
      </c>
      <c r="F417" s="9" t="str">
        <f>IFERROR(MID(VLOOKUP($B417,Seqs!$A:$B,2,0),G417,1),"")</f>
        <v>G</v>
      </c>
      <c r="G417" s="9">
        <v>165</v>
      </c>
      <c r="H417" s="9" t="str">
        <f>IFERROR(MID(VLOOKUP($B417,Seqs!$A:$B,2,0),I417,1),"")</f>
        <v/>
      </c>
      <c r="I417" s="109" t="s">
        <v>23</v>
      </c>
      <c r="J417" s="9" t="str">
        <f>IFERROR(MID(VLOOKUP($B417,Seqs!$A:$B,2,0),K417,1),"")</f>
        <v/>
      </c>
      <c r="K417" s="109" t="s">
        <v>23</v>
      </c>
      <c r="L417" s="9" t="str">
        <f>IFERROR(MID(VLOOKUP($B417,Seqs!$A:$B,2,0),M417,1),"")</f>
        <v>C</v>
      </c>
      <c r="M417" s="109">
        <v>171</v>
      </c>
      <c r="N417" s="9" t="str">
        <f>IFERROR(MID(VLOOKUP($B417,Seqs!$A:$B,2,0),O417,1),"")</f>
        <v>S</v>
      </c>
      <c r="O417" s="9">
        <v>203</v>
      </c>
      <c r="P417" s="9" t="str">
        <f>IFERROR(MID(VLOOKUP($B417,Seqs!$A:$B,2,0),Q417,1),"")</f>
        <v/>
      </c>
      <c r="Q417" s="9" t="s">
        <v>23</v>
      </c>
      <c r="R417" s="9" t="str">
        <f>IFERROR(MID(VLOOKUP($B417,Seqs!$A:$B,2,0),S417,1),"")</f>
        <v/>
      </c>
      <c r="S417" s="9" t="s">
        <v>23</v>
      </c>
      <c r="T417" s="9" t="str">
        <f>IFERROR(MID(VLOOKUP($B417,Seqs!$A:$B,2,0),U417,1),"")</f>
        <v>V</v>
      </c>
      <c r="U417" s="9">
        <v>221</v>
      </c>
      <c r="V417" s="9" t="str">
        <f>IFERROR(MID(VLOOKUP($B417,Seqs!$A:$B,2,0),W417,1),"")</f>
        <v>G</v>
      </c>
      <c r="W417" s="9">
        <v>254</v>
      </c>
      <c r="X417" s="9" t="str">
        <f>IFERROR(MID(VLOOKUP($B417,Seqs!$A:$B,2,0),Y417,1),"")</f>
        <v/>
      </c>
      <c r="Y417" s="9" t="s">
        <v>23</v>
      </c>
      <c r="Z417" s="9" t="str">
        <f>IFERROR(MID(VLOOKUP($B417,Seqs!$A:$B,2,0),AA417,1),"")</f>
        <v/>
      </c>
      <c r="AA417" s="9" t="s">
        <v>23</v>
      </c>
      <c r="AB417" s="9" t="str">
        <f>IFERROR(MID(VLOOKUP($B417,Seqs!$A:$B,2,0),AC417,1),"")</f>
        <v>F</v>
      </c>
      <c r="AC417" s="9">
        <v>263</v>
      </c>
      <c r="AD417" s="9" t="str">
        <f>IFERROR(MID(VLOOKUP($B417,Seqs!$A:$B,2,0),AE417,1),"")</f>
        <v>E</v>
      </c>
      <c r="AE417" s="9">
        <v>290</v>
      </c>
      <c r="AF417" s="9" t="str">
        <f>IFERROR(MID(VLOOKUP($B417,Seqs!$A:$B,2,0),AG417,1),"")</f>
        <v>C</v>
      </c>
      <c r="AG417" s="9">
        <v>294</v>
      </c>
      <c r="AH417" s="9" t="str">
        <f>IFERROR(MID(VLOOKUP($B417,Seqs!$A:$B,2,0),AI417,1),"")</f>
        <v>T</v>
      </c>
      <c r="AI417" s="9">
        <v>296</v>
      </c>
      <c r="AJ417" s="9" t="str">
        <f>IFERROR(MID(VLOOKUP($B417,Seqs!$A:$B,2,0),AK417,1),"")</f>
        <v>N</v>
      </c>
      <c r="AK417" s="9">
        <v>300</v>
      </c>
      <c r="AL417" s="9" t="str">
        <f>IFERROR(MID(VLOOKUP($B417,Seqs!$A:$B,2,0),AM417,1),"")</f>
        <v>L</v>
      </c>
      <c r="AM417" s="9">
        <v>333</v>
      </c>
      <c r="AN417" s="9" t="str">
        <f>IFERROR(MID(VLOOKUP($B417,Seqs!$A:$B,2,0),AO417,1),"")</f>
        <v>Y</v>
      </c>
      <c r="AO417" s="9">
        <v>343</v>
      </c>
      <c r="AP417" s="9" t="str">
        <f>IFERROR(MID(VLOOKUP($B417,Seqs!$A:$B,2,0),AQ417,1),"")</f>
        <v>H</v>
      </c>
      <c r="AQ417" s="9">
        <v>361</v>
      </c>
      <c r="AR417" s="9" t="str">
        <f>IFERROR(MID(VLOOKUP($B417,Seqs!$A:$B,2,0),AS417,1),"")</f>
        <v>L</v>
      </c>
      <c r="AS417" s="9">
        <v>377</v>
      </c>
      <c r="AT417" s="9" t="str">
        <f>IFERROR(MID(VLOOKUP($B417,Seqs!$A:$B,2,0),AU417,1),"")</f>
        <v>L</v>
      </c>
      <c r="AU417" s="9">
        <v>403</v>
      </c>
      <c r="AV417" s="9" t="str">
        <f>IFERROR(MID(VLOOKUP($B417,Seqs!$A:$B,2,0),AW417,1),"")</f>
        <v>N</v>
      </c>
      <c r="AW417" s="9">
        <v>404</v>
      </c>
      <c r="AX417" s="9" t="str">
        <f>IFERROR(MID(VLOOKUP($B417,Seqs!$A:$B,2,0),AY417,1),"")</f>
        <v>R</v>
      </c>
      <c r="AY417" s="9">
        <v>419</v>
      </c>
      <c r="AZ417" s="110" t="str">
        <f>VLOOKUP(B417,Classification!A:D,2,0)</f>
        <v>B1</v>
      </c>
      <c r="BA417" s="98" t="str">
        <f>VLOOKUP(B417,Classification!A:D,4,0)</f>
        <v>Glucagonreceptorfamily</v>
      </c>
      <c r="BB417" s="36" t="b">
        <f t="shared" ref="BB417" si="3662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109">
        <f t="shared" ref="BC417" si="3663">_xlfn.AGGREGATE(9,6,CH417:CS417)-_xlfn.AGGREGATE(9,6,BV417:CG417)+12</f>
        <v>239</v>
      </c>
      <c r="BD417" s="11" t="s">
        <v>23</v>
      </c>
      <c r="BE417" s="9" t="s">
        <v>1285</v>
      </c>
      <c r="BF417" s="119">
        <v>3.9</v>
      </c>
      <c r="BG417" s="51" t="s">
        <v>1416</v>
      </c>
      <c r="BH417" s="51" t="s">
        <v>1416</v>
      </c>
      <c r="BJ417" s="111" t="s">
        <v>1281</v>
      </c>
      <c r="BK417" s="112" t="s">
        <v>1281</v>
      </c>
      <c r="BL417" s="112" t="s">
        <v>1281</v>
      </c>
      <c r="BM417" s="112" t="s">
        <v>1281</v>
      </c>
      <c r="BN417" s="112" t="s">
        <v>1281</v>
      </c>
      <c r="BO417" s="112" t="s">
        <v>1281</v>
      </c>
      <c r="BP417" s="112" t="s">
        <v>1281</v>
      </c>
      <c r="BQ417" s="112" t="s">
        <v>1281</v>
      </c>
      <c r="BR417" s="112" t="s">
        <v>1281</v>
      </c>
      <c r="BS417" s="112" t="s">
        <v>1281</v>
      </c>
      <c r="BT417" s="112" t="s">
        <v>1281</v>
      </c>
      <c r="BU417" s="112" t="s">
        <v>1281</v>
      </c>
      <c r="BV417" s="111">
        <f t="shared" ref="BV417" si="3664">E417</f>
        <v>124</v>
      </c>
      <c r="BW417" s="113" t="str">
        <f t="shared" ref="BW417" si="3665">I417</f>
        <v>-</v>
      </c>
      <c r="BX417" s="114">
        <f t="shared" ref="BX417" si="3666">M417</f>
        <v>171</v>
      </c>
      <c r="BY417" s="113" t="str">
        <f t="shared" ref="BY417" si="3667">Q417</f>
        <v>-</v>
      </c>
      <c r="BZ417" s="114">
        <f t="shared" ref="BZ417" si="3668">U417</f>
        <v>221</v>
      </c>
      <c r="CA417" s="113" t="str">
        <f t="shared" ref="CA417" si="3669">Y417</f>
        <v>-</v>
      </c>
      <c r="CB417" s="114">
        <f t="shared" ref="CB417" si="3670">AC417</f>
        <v>263</v>
      </c>
      <c r="CC417" s="113">
        <f t="shared" ref="CC417" si="3671">AG417</f>
        <v>294</v>
      </c>
      <c r="CD417" s="114">
        <f t="shared" ref="CD417" si="3672">AK417</f>
        <v>300</v>
      </c>
      <c r="CE417" s="113">
        <f t="shared" ref="CE417" si="3673">AO417</f>
        <v>343</v>
      </c>
      <c r="CF417" s="114">
        <f t="shared" ref="CF417" si="3674">AS417</f>
        <v>377</v>
      </c>
      <c r="CG417" s="113">
        <f t="shared" ref="CG417" si="3675">AW417</f>
        <v>404</v>
      </c>
      <c r="CH417" s="111">
        <f t="shared" ref="CH417" si="3676">G417</f>
        <v>165</v>
      </c>
      <c r="CI417" s="113" t="str">
        <f t="shared" ref="CI417" si="3677">K417</f>
        <v>-</v>
      </c>
      <c r="CJ417" s="114">
        <f t="shared" ref="CJ417" si="3678">O417</f>
        <v>203</v>
      </c>
      <c r="CK417" s="114" t="str">
        <f t="shared" ref="CK417" si="3679">S417</f>
        <v>-</v>
      </c>
      <c r="CL417" s="114">
        <f t="shared" ref="CL417" si="3680">W417</f>
        <v>254</v>
      </c>
      <c r="CM417" s="114" t="str">
        <f t="shared" ref="CM417" si="3681">AA417</f>
        <v>-</v>
      </c>
      <c r="CN417" s="114">
        <f t="shared" ref="CN417" si="3682">AE417</f>
        <v>290</v>
      </c>
      <c r="CO417" s="114">
        <f t="shared" ref="CO417" si="3683">AI417</f>
        <v>296</v>
      </c>
      <c r="CP417" s="114">
        <f t="shared" ref="CP417" si="3684">AM417</f>
        <v>333</v>
      </c>
      <c r="CQ417" s="114">
        <f t="shared" ref="CQ417" si="3685">AQ417</f>
        <v>361</v>
      </c>
      <c r="CR417" s="114">
        <f t="shared" ref="CR417" si="3686">AU417</f>
        <v>403</v>
      </c>
      <c r="CS417" s="114">
        <f t="shared" ref="CS417" si="3687">AY417</f>
        <v>419</v>
      </c>
      <c r="CT417" s="109" t="e">
        <f t="shared" ref="CT417" si="3688">M417-K417</f>
        <v>#VALUE!</v>
      </c>
    </row>
    <row r="418" spans="1:1029" x14ac:dyDescent="0.2">
      <c r="A418" s="3" t="str">
        <f t="shared" si="3605"/>
        <v>glp1r_human__wt</v>
      </c>
      <c r="B418" s="3" t="s">
        <v>405</v>
      </c>
      <c r="C418" s="3" t="s">
        <v>100</v>
      </c>
      <c r="D418" s="3" t="str">
        <f>IFERROR(MID(VLOOKUP($B418,Seqs!$A:$B,2,0),E418,1),"")</f>
        <v>E</v>
      </c>
      <c r="E418" s="3">
        <v>138</v>
      </c>
      <c r="F418" s="3" t="str">
        <f>IFERROR(MID(VLOOKUP($B418,Seqs!$A:$B,2,0),G418,1),"")</f>
        <v>F</v>
      </c>
      <c r="G418" s="3">
        <v>169</v>
      </c>
      <c r="H418" s="3" t="str">
        <f>IFERROR(MID(VLOOKUP($B418,Seqs!$A:$B,2,0),I418,1),"")</f>
        <v>R</v>
      </c>
      <c r="I418" s="23">
        <v>170</v>
      </c>
      <c r="J418" s="3" t="str">
        <f>IFERROR(MID(VLOOKUP($B418,Seqs!$A:$B,2,0),K418,1),"")</f>
        <v>H</v>
      </c>
      <c r="K418" s="23">
        <v>173</v>
      </c>
      <c r="L418" s="3" t="str">
        <f>IFERROR(MID(VLOOKUP($B418,Seqs!$A:$B,2,0),M418,1),"")</f>
        <v>C</v>
      </c>
      <c r="M418" s="23">
        <v>174</v>
      </c>
      <c r="N418" s="3" t="str">
        <f>IFERROR(MID(VLOOKUP($B418,Seqs!$A:$B,2,0),O418,1),"")</f>
        <v>S</v>
      </c>
      <c r="O418" s="3">
        <v>206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224</v>
      </c>
      <c r="V418" s="3" t="str">
        <f>IFERROR(MID(VLOOKUP($B418,Seqs!$A:$B,2,0),W418,1),"")</f>
        <v>F</v>
      </c>
      <c r="W418" s="3">
        <v>257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E</v>
      </c>
      <c r="AC418" s="3">
        <v>262</v>
      </c>
      <c r="AD418" s="3" t="str">
        <f>IFERROR(MID(VLOOKUP($B418,Seqs!$A:$B,2,0),AE418,1),"")</f>
        <v>E</v>
      </c>
      <c r="AE418" s="3">
        <v>292</v>
      </c>
      <c r="AF418" s="3" t="str">
        <f>IFERROR(MID(VLOOKUP($B418,Seqs!$A:$B,2,0),AG418,1),"")</f>
        <v>C</v>
      </c>
      <c r="AG418" s="3">
        <v>296</v>
      </c>
      <c r="AH418" s="3" t="str">
        <f>IFERROR(MID(VLOOKUP($B418,Seqs!$A:$B,2,0),AI418,1),"")</f>
        <v>T</v>
      </c>
      <c r="AI418" s="3">
        <v>298</v>
      </c>
      <c r="AJ418" s="3" t="str">
        <f>IFERROR(MID(VLOOKUP($B418,Seqs!$A:$B,2,0),AK418,1),"")</f>
        <v>N</v>
      </c>
      <c r="AK418" s="3">
        <v>302</v>
      </c>
      <c r="AL418" s="3" t="str">
        <f>IFERROR(MID(VLOOKUP($B418,Seqs!$A:$B,2,0),AM418,1),"")</f>
        <v>A</v>
      </c>
      <c r="AM418" s="3">
        <v>337</v>
      </c>
      <c r="AN418" s="3" t="str">
        <f>IFERROR(MID(VLOOKUP($B418,Seqs!$A:$B,2,0),AO418,1),"")</f>
        <v>D</v>
      </c>
      <c r="AO418" s="3">
        <v>344</v>
      </c>
      <c r="AP418" s="3" t="str">
        <f>IFERROR(MID(VLOOKUP($B418,Seqs!$A:$B,2,0),AQ418,1),"")</f>
        <v>F</v>
      </c>
      <c r="AQ418" s="3">
        <v>369</v>
      </c>
      <c r="AR418" s="3" t="str">
        <f>IFERROR(MID(VLOOKUP($B418,Seqs!$A:$B,2,0),AS418,1),"")</f>
        <v>G</v>
      </c>
      <c r="AS418" s="3">
        <v>377</v>
      </c>
      <c r="AT418" s="3" t="str">
        <f>IFERROR(MID(VLOOKUP($B418,Seqs!$A:$B,2,0),AU418,1),"")</f>
        <v>V</v>
      </c>
      <c r="AU418" s="3">
        <v>405</v>
      </c>
      <c r="AV418" s="3" t="str">
        <f>IFERROR(MID(VLOOKUP($B418,Seqs!$A:$B,2,0),AW418,1),"")</f>
        <v>N</v>
      </c>
      <c r="AW418" s="3">
        <v>406</v>
      </c>
      <c r="AX418" s="3" t="str">
        <f>IFERROR(MID(VLOOKUP($B418,Seqs!$A:$B,2,0),AY418,1),"")</f>
        <v>S</v>
      </c>
      <c r="AY418" s="3">
        <v>431</v>
      </c>
      <c r="AZ418" s="77" t="str">
        <f>VLOOKUP(B418,Classification!A:D,2,0)</f>
        <v>B1</v>
      </c>
      <c r="BA418" s="94" t="str">
        <f>VLOOKUP(B418,Classification!A:D,4,0)</f>
        <v>Glucagonreceptorfamily</v>
      </c>
      <c r="BB418" s="27" t="b">
        <f t="shared" si="3606"/>
        <v>1</v>
      </c>
      <c r="BC418" s="23">
        <f t="shared" si="3607"/>
        <v>256</v>
      </c>
      <c r="BD418" s="4" t="s">
        <v>23</v>
      </c>
      <c r="BE418" s="3" t="s">
        <v>23</v>
      </c>
      <c r="BF418" s="118" t="s">
        <v>23</v>
      </c>
      <c r="BG418" s="49" t="s">
        <v>1371</v>
      </c>
      <c r="BH418" s="49" t="s">
        <v>1371</v>
      </c>
      <c r="BI418" s="1"/>
      <c r="BJ418" s="70" t="s">
        <v>1281</v>
      </c>
      <c r="BK418" s="57" t="s">
        <v>1281</v>
      </c>
      <c r="BL418" s="57" t="s">
        <v>1281</v>
      </c>
      <c r="BM418" s="57" t="s">
        <v>1281</v>
      </c>
      <c r="BN418" s="57" t="s">
        <v>1281</v>
      </c>
      <c r="BO418" s="57" t="s">
        <v>1281</v>
      </c>
      <c r="BP418" s="57" t="s">
        <v>1281</v>
      </c>
      <c r="BQ418" s="57" t="s">
        <v>1281</v>
      </c>
      <c r="BR418" s="57" t="s">
        <v>1281</v>
      </c>
      <c r="BS418" s="57" t="s">
        <v>1281</v>
      </c>
      <c r="BT418" s="57" t="s">
        <v>1281</v>
      </c>
      <c r="BU418" s="57" t="s">
        <v>1281</v>
      </c>
      <c r="BV418" s="70">
        <f t="shared" si="3608"/>
        <v>138</v>
      </c>
      <c r="BW418" s="71">
        <f t="shared" si="3609"/>
        <v>170</v>
      </c>
      <c r="BX418" s="72">
        <f t="shared" si="3610"/>
        <v>174</v>
      </c>
      <c r="BY418" s="71" t="str">
        <f t="shared" si="3611"/>
        <v>-</v>
      </c>
      <c r="BZ418" s="72">
        <f t="shared" si="3612"/>
        <v>224</v>
      </c>
      <c r="CA418" s="71" t="str">
        <f t="shared" si="3613"/>
        <v>-</v>
      </c>
      <c r="CB418" s="72">
        <f t="shared" si="3614"/>
        <v>262</v>
      </c>
      <c r="CC418" s="71">
        <f t="shared" si="3615"/>
        <v>296</v>
      </c>
      <c r="CD418" s="72">
        <f t="shared" si="3616"/>
        <v>302</v>
      </c>
      <c r="CE418" s="71">
        <f t="shared" si="3617"/>
        <v>344</v>
      </c>
      <c r="CF418" s="72">
        <f t="shared" si="3618"/>
        <v>377</v>
      </c>
      <c r="CG418" s="71">
        <f t="shared" si="3619"/>
        <v>406</v>
      </c>
      <c r="CH418" s="70">
        <f t="shared" si="3620"/>
        <v>169</v>
      </c>
      <c r="CI418" s="71">
        <f t="shared" si="3621"/>
        <v>173</v>
      </c>
      <c r="CJ418" s="72">
        <f t="shared" si="3622"/>
        <v>206</v>
      </c>
      <c r="CK418" s="72" t="str">
        <f t="shared" si="3623"/>
        <v>-</v>
      </c>
      <c r="CL418" s="72">
        <f t="shared" si="3624"/>
        <v>257</v>
      </c>
      <c r="CM418" s="72" t="str">
        <f t="shared" si="3625"/>
        <v>-</v>
      </c>
      <c r="CN418" s="72">
        <f t="shared" si="3626"/>
        <v>292</v>
      </c>
      <c r="CO418" s="72">
        <f t="shared" si="3627"/>
        <v>298</v>
      </c>
      <c r="CP418" s="72">
        <f t="shared" si="3628"/>
        <v>337</v>
      </c>
      <c r="CQ418" s="72">
        <f t="shared" si="3629"/>
        <v>369</v>
      </c>
      <c r="CR418" s="72">
        <f t="shared" si="3630"/>
        <v>405</v>
      </c>
      <c r="CS418" s="72">
        <f t="shared" si="3631"/>
        <v>431</v>
      </c>
      <c r="CT418" s="23">
        <f t="shared" si="3632"/>
        <v>1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29" x14ac:dyDescent="0.2">
      <c r="A419" s="3" t="str">
        <f t="shared" si="3605"/>
        <v>glp1r_human_5VEW</v>
      </c>
      <c r="B419" s="3" t="s">
        <v>405</v>
      </c>
      <c r="C419" s="3" t="s">
        <v>1401</v>
      </c>
      <c r="D419" s="3" t="str">
        <f>IFERROR(MID(VLOOKUP($B419,Seqs!$A:$B,2,0),E419,1),"")</f>
        <v>S</v>
      </c>
      <c r="E419" s="3">
        <v>136</v>
      </c>
      <c r="F419" s="3" t="str">
        <f>IFERROR(MID(VLOOKUP($B419,Seqs!$A:$B,2,0),G419,1),"")</f>
        <v>F</v>
      </c>
      <c r="G419" s="3">
        <v>169</v>
      </c>
      <c r="H419" s="3" t="str">
        <f>IFERROR(MID(VLOOKUP($B419,Seqs!$A:$B,2,0),I419,1),"")</f>
        <v>R</v>
      </c>
      <c r="I419" s="23">
        <v>170</v>
      </c>
      <c r="J419" s="3" t="str">
        <f>IFERROR(MID(VLOOKUP($B419,Seqs!$A:$B,2,0),K419,1),"")</f>
        <v>H</v>
      </c>
      <c r="K419" s="23">
        <v>173</v>
      </c>
      <c r="L419" s="3" t="str">
        <f>IFERROR(MID(VLOOKUP($B419,Seqs!$A:$B,2,0),M419,1),"")</f>
        <v>C</v>
      </c>
      <c r="M419" s="23">
        <v>174</v>
      </c>
      <c r="N419" s="3" t="str">
        <f>IFERROR(MID(VLOOKUP($B419,Seqs!$A:$B,2,0),O419,1),"")</f>
        <v>K</v>
      </c>
      <c r="O419" s="3">
        <v>202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224</v>
      </c>
      <c r="V419" s="3" t="str">
        <f>IFERROR(MID(VLOOKUP($B419,Seqs!$A:$B,2,0),W419,1),"")</f>
        <v>F</v>
      </c>
      <c r="W419" s="3">
        <v>257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E</v>
      </c>
      <c r="AC419" s="3">
        <v>262</v>
      </c>
      <c r="AD419" s="3" t="str">
        <f>IFERROR(MID(VLOOKUP($B419,Seqs!$A:$B,2,0),AE419,1),"")</f>
        <v>E</v>
      </c>
      <c r="AE419" s="3">
        <v>292</v>
      </c>
      <c r="AF419" s="3" t="str">
        <f>IFERROR(MID(VLOOKUP($B419,Seqs!$A:$B,2,0),AG419,1),"")</f>
        <v>C</v>
      </c>
      <c r="AG419" s="3">
        <v>296</v>
      </c>
      <c r="AH419" s="3" t="str">
        <f>IFERROR(MID(VLOOKUP($B419,Seqs!$A:$B,2,0),AI419,1),"")</f>
        <v>T</v>
      </c>
      <c r="AI419" s="3">
        <v>298</v>
      </c>
      <c r="AJ419" s="3" t="str">
        <f>IFERROR(MID(VLOOKUP($B419,Seqs!$A:$B,2,0),AK419,1),"")</f>
        <v>M</v>
      </c>
      <c r="AK419" s="3">
        <v>303</v>
      </c>
      <c r="AL419" s="3" t="str">
        <f>IFERROR(MID(VLOOKUP($B419,Seqs!$A:$B,2,0),AM419,1),"")</f>
        <v>A</v>
      </c>
      <c r="AM419" s="3">
        <v>337</v>
      </c>
      <c r="AN419" s="3" t="str">
        <f>IFERROR(MID(VLOOKUP($B419,Seqs!$A:$B,2,0),AO419,1),"")</f>
        <v>D</v>
      </c>
      <c r="AO419" s="3">
        <v>344</v>
      </c>
      <c r="AP419" s="3" t="str">
        <f>IFERROR(MID(VLOOKUP($B419,Seqs!$A:$B,2,0),AQ419,1),"")</f>
        <v>F</v>
      </c>
      <c r="AQ419" s="3">
        <v>367</v>
      </c>
      <c r="AR419" s="3" t="str">
        <f>IFERROR(MID(VLOOKUP($B419,Seqs!$A:$B,2,0),AS419,1),"")</f>
        <v>R</v>
      </c>
      <c r="AS419" s="3">
        <v>380</v>
      </c>
      <c r="AT419" s="3" t="str">
        <f>IFERROR(MID(VLOOKUP($B419,Seqs!$A:$B,2,0),AU419,1),"")</f>
        <v>V</v>
      </c>
      <c r="AU419" s="3">
        <v>405</v>
      </c>
      <c r="AV419" s="3" t="str">
        <f>IFERROR(MID(VLOOKUP($B419,Seqs!$A:$B,2,0),AW419,1),"")</f>
        <v>N</v>
      </c>
      <c r="AW419" s="3">
        <v>406</v>
      </c>
      <c r="AX419" s="3" t="str">
        <f>IFERROR(MID(VLOOKUP($B419,Seqs!$A:$B,2,0),AY419,1),"")</f>
        <v>L</v>
      </c>
      <c r="AY419" s="3">
        <v>422</v>
      </c>
      <c r="AZ419" s="77" t="str">
        <f>VLOOKUP(B419,Classification!A:D,2,0)</f>
        <v>B1</v>
      </c>
      <c r="BA419" s="94" t="str">
        <f>VLOOKUP(B419,Classification!A:D,4,0)</f>
        <v>Glucagonreceptorfamily</v>
      </c>
      <c r="BB419" s="27" t="b">
        <f t="shared" si="3606"/>
        <v>1</v>
      </c>
      <c r="BC419" s="23">
        <f t="shared" si="3607"/>
        <v>239</v>
      </c>
      <c r="BD419" s="4" t="s">
        <v>1370</v>
      </c>
      <c r="BE419" s="3" t="s">
        <v>1368</v>
      </c>
      <c r="BF419" s="118">
        <v>2.7</v>
      </c>
      <c r="BG419" s="49" t="s">
        <v>1275</v>
      </c>
      <c r="BH419" s="49" t="s">
        <v>1275</v>
      </c>
      <c r="BI419" s="1"/>
      <c r="BJ419" s="70" t="s">
        <v>1281</v>
      </c>
      <c r="BK419" s="57" t="s">
        <v>1281</v>
      </c>
      <c r="BL419" s="57" t="s">
        <v>1281</v>
      </c>
      <c r="BM419" s="57" t="s">
        <v>1281</v>
      </c>
      <c r="BN419" s="57" t="s">
        <v>1281</v>
      </c>
      <c r="BO419" s="57" t="s">
        <v>1281</v>
      </c>
      <c r="BP419" s="57" t="s">
        <v>1281</v>
      </c>
      <c r="BQ419" s="57" t="s">
        <v>1281</v>
      </c>
      <c r="BR419" s="57" t="s">
        <v>1281</v>
      </c>
      <c r="BS419" s="57" t="s">
        <v>1281</v>
      </c>
      <c r="BT419" s="57" t="s">
        <v>1281</v>
      </c>
      <c r="BU419" s="57" t="s">
        <v>1281</v>
      </c>
      <c r="BV419" s="70">
        <f t="shared" si="3608"/>
        <v>136</v>
      </c>
      <c r="BW419" s="71">
        <f t="shared" si="3609"/>
        <v>170</v>
      </c>
      <c r="BX419" s="72">
        <f t="shared" si="3610"/>
        <v>174</v>
      </c>
      <c r="BY419" s="71" t="str">
        <f t="shared" si="3611"/>
        <v>-</v>
      </c>
      <c r="BZ419" s="72">
        <f t="shared" si="3612"/>
        <v>224</v>
      </c>
      <c r="CA419" s="71" t="str">
        <f t="shared" si="3613"/>
        <v>-</v>
      </c>
      <c r="CB419" s="72">
        <f t="shared" si="3614"/>
        <v>262</v>
      </c>
      <c r="CC419" s="71">
        <f t="shared" si="3615"/>
        <v>296</v>
      </c>
      <c r="CD419" s="72">
        <f t="shared" si="3616"/>
        <v>303</v>
      </c>
      <c r="CE419" s="71">
        <f t="shared" si="3617"/>
        <v>344</v>
      </c>
      <c r="CF419" s="72">
        <f t="shared" si="3618"/>
        <v>380</v>
      </c>
      <c r="CG419" s="71">
        <f t="shared" si="3619"/>
        <v>406</v>
      </c>
      <c r="CH419" s="70">
        <f t="shared" si="3620"/>
        <v>169</v>
      </c>
      <c r="CI419" s="71">
        <f t="shared" si="3621"/>
        <v>173</v>
      </c>
      <c r="CJ419" s="72">
        <f t="shared" si="3622"/>
        <v>202</v>
      </c>
      <c r="CK419" s="72" t="str">
        <f t="shared" si="3623"/>
        <v>-</v>
      </c>
      <c r="CL419" s="72">
        <f t="shared" si="3624"/>
        <v>257</v>
      </c>
      <c r="CM419" s="72" t="str">
        <f t="shared" si="3625"/>
        <v>-</v>
      </c>
      <c r="CN419" s="72">
        <f t="shared" si="3626"/>
        <v>292</v>
      </c>
      <c r="CO419" s="72">
        <f t="shared" si="3627"/>
        <v>298</v>
      </c>
      <c r="CP419" s="72">
        <f t="shared" si="3628"/>
        <v>337</v>
      </c>
      <c r="CQ419" s="72">
        <f t="shared" si="3629"/>
        <v>367</v>
      </c>
      <c r="CR419" s="72">
        <f t="shared" si="3630"/>
        <v>405</v>
      </c>
      <c r="CS419" s="72">
        <f t="shared" si="3631"/>
        <v>422</v>
      </c>
      <c r="CT419" s="23">
        <f t="shared" si="3632"/>
        <v>1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29" x14ac:dyDescent="0.2">
      <c r="A420" s="3" t="str">
        <f t="shared" si="3605"/>
        <v>glp1r_human_5VEX</v>
      </c>
      <c r="B420" s="3" t="s">
        <v>405</v>
      </c>
      <c r="C420" s="3" t="s">
        <v>1400</v>
      </c>
      <c r="D420" s="3" t="str">
        <f>IFERROR(MID(VLOOKUP($B420,Seqs!$A:$B,2,0),E420,1),"")</f>
        <v>S</v>
      </c>
      <c r="E420" s="3">
        <v>136</v>
      </c>
      <c r="F420" s="3" t="str">
        <f>IFERROR(MID(VLOOKUP($B420,Seqs!$A:$B,2,0),G420,1),"")</f>
        <v>F</v>
      </c>
      <c r="G420" s="3">
        <v>169</v>
      </c>
      <c r="H420" s="3" t="str">
        <f>IFERROR(MID(VLOOKUP($B420,Seqs!$A:$B,2,0),I420,1),"")</f>
        <v>R</v>
      </c>
      <c r="I420" s="23">
        <v>170</v>
      </c>
      <c r="J420" s="3" t="str">
        <f>IFERROR(MID(VLOOKUP($B420,Seqs!$A:$B,2,0),K420,1),"")</f>
        <v>H</v>
      </c>
      <c r="K420" s="23">
        <v>173</v>
      </c>
      <c r="L420" s="3" t="str">
        <f>IFERROR(MID(VLOOKUP($B420,Seqs!$A:$B,2,0),M420,1),"")</f>
        <v>C</v>
      </c>
      <c r="M420" s="23">
        <v>174</v>
      </c>
      <c r="N420" s="3" t="str">
        <f>IFERROR(MID(VLOOKUP($B420,Seqs!$A:$B,2,0),O420,1),"")</f>
        <v>K</v>
      </c>
      <c r="O420" s="3">
        <v>202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224</v>
      </c>
      <c r="V420" s="3" t="str">
        <f>IFERROR(MID(VLOOKUP($B420,Seqs!$A:$B,2,0),W420,1),"")</f>
        <v>F</v>
      </c>
      <c r="W420" s="3">
        <v>257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E</v>
      </c>
      <c r="AC420" s="3">
        <v>262</v>
      </c>
      <c r="AD420" s="3" t="str">
        <f>IFERROR(MID(VLOOKUP($B420,Seqs!$A:$B,2,0),AE420,1),"")</f>
        <v>E</v>
      </c>
      <c r="AE420" s="3">
        <v>292</v>
      </c>
      <c r="AF420" s="3" t="str">
        <f>IFERROR(MID(VLOOKUP($B420,Seqs!$A:$B,2,0),AG420,1),"")</f>
        <v>C</v>
      </c>
      <c r="AG420" s="3">
        <v>296</v>
      </c>
      <c r="AH420" s="3" t="str">
        <f>IFERROR(MID(VLOOKUP($B420,Seqs!$A:$B,2,0),AI420,1),"")</f>
        <v>T</v>
      </c>
      <c r="AI420" s="3">
        <v>298</v>
      </c>
      <c r="AJ420" s="3" t="str">
        <f>IFERROR(MID(VLOOKUP($B420,Seqs!$A:$B,2,0),AK420,1),"")</f>
        <v>N</v>
      </c>
      <c r="AK420" s="3">
        <v>304</v>
      </c>
      <c r="AL420" s="3" t="str">
        <f>IFERROR(MID(VLOOKUP($B420,Seqs!$A:$B,2,0),AM420,1),"")</f>
        <v>A</v>
      </c>
      <c r="AM420" s="3">
        <v>337</v>
      </c>
      <c r="AN420" s="3" t="str">
        <f>IFERROR(MID(VLOOKUP($B420,Seqs!$A:$B,2,0),AO420,1),"")</f>
        <v>D</v>
      </c>
      <c r="AO420" s="3">
        <v>344</v>
      </c>
      <c r="AP420" s="3" t="str">
        <f>IFERROR(MID(VLOOKUP($B420,Seqs!$A:$B,2,0),AQ420,1),"")</f>
        <v>F</v>
      </c>
      <c r="AQ420" s="3">
        <v>367</v>
      </c>
      <c r="AR420" s="3" t="str">
        <f>IFERROR(MID(VLOOKUP($B420,Seqs!$A:$B,2,0),AS420,1),"")</f>
        <v>R</v>
      </c>
      <c r="AS420" s="3">
        <v>380</v>
      </c>
      <c r="AT420" s="3" t="str">
        <f>IFERROR(MID(VLOOKUP($B420,Seqs!$A:$B,2,0),AU420,1),"")</f>
        <v>V</v>
      </c>
      <c r="AU420" s="3">
        <v>405</v>
      </c>
      <c r="AV420" s="3" t="str">
        <f>IFERROR(MID(VLOOKUP($B420,Seqs!$A:$B,2,0),AW420,1),"")</f>
        <v>N</v>
      </c>
      <c r="AW420" s="3">
        <v>406</v>
      </c>
      <c r="AX420" s="3" t="str">
        <f>IFERROR(MID(VLOOKUP($B420,Seqs!$A:$B,2,0),AY420,1),"")</f>
        <v>L</v>
      </c>
      <c r="AY420" s="3">
        <v>422</v>
      </c>
      <c r="AZ420" s="77" t="str">
        <f>VLOOKUP(B420,Classification!A:D,2,0)</f>
        <v>B1</v>
      </c>
      <c r="BA420" s="94" t="str">
        <f>VLOOKUP(B420,Classification!A:D,4,0)</f>
        <v>Glucagonreceptorfamily</v>
      </c>
      <c r="BB420" s="27" t="b">
        <f t="shared" si="3606"/>
        <v>1</v>
      </c>
      <c r="BC420" s="23">
        <f t="shared" si="3607"/>
        <v>238</v>
      </c>
      <c r="BD420" s="4" t="s">
        <v>23</v>
      </c>
      <c r="BE420" s="3" t="s">
        <v>1368</v>
      </c>
      <c r="BF420" s="118">
        <v>3</v>
      </c>
      <c r="BG420" s="49" t="s">
        <v>1</v>
      </c>
      <c r="BH420" s="49" t="s">
        <v>1</v>
      </c>
      <c r="BI420" s="1"/>
      <c r="BJ420" s="70" t="s">
        <v>1281</v>
      </c>
      <c r="BK420" s="57" t="s">
        <v>1281</v>
      </c>
      <c r="BL420" s="57" t="s">
        <v>1281</v>
      </c>
      <c r="BM420" s="57" t="s">
        <v>1281</v>
      </c>
      <c r="BN420" s="57" t="s">
        <v>1281</v>
      </c>
      <c r="BO420" s="57" t="s">
        <v>1281</v>
      </c>
      <c r="BP420" s="57" t="s">
        <v>1281</v>
      </c>
      <c r="BQ420" s="57" t="s">
        <v>1281</v>
      </c>
      <c r="BR420" s="57" t="s">
        <v>1281</v>
      </c>
      <c r="BS420" s="57" t="s">
        <v>1281</v>
      </c>
      <c r="BT420" s="57" t="s">
        <v>1281</v>
      </c>
      <c r="BU420" s="57" t="s">
        <v>1281</v>
      </c>
      <c r="BV420" s="70">
        <f t="shared" si="3608"/>
        <v>136</v>
      </c>
      <c r="BW420" s="71">
        <f t="shared" si="3609"/>
        <v>170</v>
      </c>
      <c r="BX420" s="72">
        <f t="shared" si="3610"/>
        <v>174</v>
      </c>
      <c r="BY420" s="71" t="str">
        <f t="shared" si="3611"/>
        <v>-</v>
      </c>
      <c r="BZ420" s="72">
        <f t="shared" si="3612"/>
        <v>224</v>
      </c>
      <c r="CA420" s="71" t="str">
        <f t="shared" si="3613"/>
        <v>-</v>
      </c>
      <c r="CB420" s="72">
        <f t="shared" si="3614"/>
        <v>262</v>
      </c>
      <c r="CC420" s="71">
        <f t="shared" si="3615"/>
        <v>296</v>
      </c>
      <c r="CD420" s="72">
        <f t="shared" si="3616"/>
        <v>304</v>
      </c>
      <c r="CE420" s="71">
        <f t="shared" si="3617"/>
        <v>344</v>
      </c>
      <c r="CF420" s="72">
        <f t="shared" si="3618"/>
        <v>380</v>
      </c>
      <c r="CG420" s="71">
        <f t="shared" si="3619"/>
        <v>406</v>
      </c>
      <c r="CH420" s="70">
        <f t="shared" si="3620"/>
        <v>169</v>
      </c>
      <c r="CI420" s="71">
        <f t="shared" si="3621"/>
        <v>173</v>
      </c>
      <c r="CJ420" s="72">
        <f t="shared" si="3622"/>
        <v>202</v>
      </c>
      <c r="CK420" s="72" t="str">
        <f t="shared" si="3623"/>
        <v>-</v>
      </c>
      <c r="CL420" s="72">
        <f t="shared" si="3624"/>
        <v>257</v>
      </c>
      <c r="CM420" s="72" t="str">
        <f t="shared" si="3625"/>
        <v>-</v>
      </c>
      <c r="CN420" s="72">
        <f t="shared" si="3626"/>
        <v>292</v>
      </c>
      <c r="CO420" s="72">
        <f t="shared" si="3627"/>
        <v>298</v>
      </c>
      <c r="CP420" s="72">
        <f t="shared" si="3628"/>
        <v>337</v>
      </c>
      <c r="CQ420" s="72">
        <f t="shared" si="3629"/>
        <v>367</v>
      </c>
      <c r="CR420" s="72">
        <f t="shared" si="3630"/>
        <v>405</v>
      </c>
      <c r="CS420" s="72">
        <f t="shared" si="3631"/>
        <v>422</v>
      </c>
      <c r="CT420" s="23">
        <f t="shared" si="3632"/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29" x14ac:dyDescent="0.2">
      <c r="A421" s="3" t="str">
        <f t="shared" si="3605"/>
        <v>glp1r_human_5NX2</v>
      </c>
      <c r="B421" s="3" t="s">
        <v>405</v>
      </c>
      <c r="C421" s="3" t="s">
        <v>1412</v>
      </c>
      <c r="D421" s="3" t="str">
        <f>IFERROR(MID(VLOOKUP($B421,Seqs!$A:$B,2,0),E421,1),"")</f>
        <v>E</v>
      </c>
      <c r="E421" s="3">
        <v>138</v>
      </c>
      <c r="F421" s="3" t="str">
        <f>IFERROR(MID(VLOOKUP($B421,Seqs!$A:$B,2,0),G421,1),"")</f>
        <v>F</v>
      </c>
      <c r="G421" s="3">
        <v>169</v>
      </c>
      <c r="H421" s="3" t="str">
        <f>IFERROR(MID(VLOOKUP($B421,Seqs!$A:$B,2,0),I421,1),"")</f>
        <v>R</v>
      </c>
      <c r="I421" s="23">
        <v>170</v>
      </c>
      <c r="J421" s="3" t="str">
        <f>IFERROR(MID(VLOOKUP($B421,Seqs!$A:$B,2,0),K421,1),"")</f>
        <v>H</v>
      </c>
      <c r="K421" s="23">
        <v>173</v>
      </c>
      <c r="L421" s="3" t="str">
        <f>IFERROR(MID(VLOOKUP($B421,Seqs!$A:$B,2,0),M421,1),"")</f>
        <v>C</v>
      </c>
      <c r="M421" s="23">
        <v>174</v>
      </c>
      <c r="N421" s="3" t="str">
        <f>IFERROR(MID(VLOOKUP($B421,Seqs!$A:$B,2,0),O421,1),"")</f>
        <v>S</v>
      </c>
      <c r="O421" s="3">
        <v>206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224</v>
      </c>
      <c r="V421" s="3" t="str">
        <f>IFERROR(MID(VLOOKUP($B421,Seqs!$A:$B,2,0),W421,1),"")</f>
        <v>F</v>
      </c>
      <c r="W421" s="3">
        <v>257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E</v>
      </c>
      <c r="AC421" s="3">
        <v>262</v>
      </c>
      <c r="AD421" s="3" t="str">
        <f>IFERROR(MID(VLOOKUP($B421,Seqs!$A:$B,2,0),AE421,1),"")</f>
        <v>Y</v>
      </c>
      <c r="AE421" s="3">
        <v>291</v>
      </c>
      <c r="AF421" s="3" t="str">
        <f>IFERROR(MID(VLOOKUP($B421,Seqs!$A:$B,2,0),AG421,1),"")</f>
        <v>C</v>
      </c>
      <c r="AG421" s="3">
        <v>296</v>
      </c>
      <c r="AH421" s="3" t="str">
        <f>IFERROR(MID(VLOOKUP($B421,Seqs!$A:$B,2,0),AI421,1),"")</f>
        <v>T</v>
      </c>
      <c r="AI421" s="3">
        <v>298</v>
      </c>
      <c r="AJ421" s="3" t="str">
        <f>IFERROR(MID(VLOOKUP($B421,Seqs!$A:$B,2,0),AK421,1),"")</f>
        <v>N</v>
      </c>
      <c r="AK421" s="3">
        <v>302</v>
      </c>
      <c r="AL421" s="3" t="str">
        <f>IFERROR(MID(VLOOKUP($B421,Seqs!$A:$B,2,0),AM421,1),"")</f>
        <v>L</v>
      </c>
      <c r="AM421" s="3">
        <v>335</v>
      </c>
      <c r="AN421" s="3" t="str">
        <f>IFERROR(MID(VLOOKUP($B421,Seqs!$A:$B,2,0),AO421,1),"")</f>
        <v>M</v>
      </c>
      <c r="AO421" s="3">
        <v>340</v>
      </c>
      <c r="AP421" s="3" t="str">
        <f>IFERROR(MID(VLOOKUP($B421,Seqs!$A:$B,2,0),AQ421,1),"")</f>
        <v>F</v>
      </c>
      <c r="AQ421" s="3">
        <v>369</v>
      </c>
      <c r="AR421" s="3" t="str">
        <f>IFERROR(MID(VLOOKUP($B421,Seqs!$A:$B,2,0),AS421,1),"")</f>
        <v>G</v>
      </c>
      <c r="AS421" s="3">
        <v>377</v>
      </c>
      <c r="AT421" s="3" t="str">
        <f>IFERROR(MID(VLOOKUP($B421,Seqs!$A:$B,2,0),AU421,1),"")</f>
        <v>V</v>
      </c>
      <c r="AU421" s="3">
        <v>405</v>
      </c>
      <c r="AV421" s="3" t="str">
        <f>IFERROR(MID(VLOOKUP($B421,Seqs!$A:$B,2,0),AW421,1),"")</f>
        <v>N</v>
      </c>
      <c r="AW421" s="3">
        <v>406</v>
      </c>
      <c r="AX421" s="3" t="str">
        <f>IFERROR(MID(VLOOKUP($B421,Seqs!$A:$B,2,0),AY421,1),"")</f>
        <v>S</v>
      </c>
      <c r="AY421" s="3">
        <v>416</v>
      </c>
      <c r="AZ421" s="77" t="str">
        <f>VLOOKUP(B421,Classification!A:D,2,0)</f>
        <v>B1</v>
      </c>
      <c r="BA421" s="94" t="str">
        <f>VLOOKUP(B421,Classification!A:D,4,0)</f>
        <v>Glucagonreceptorfamily</v>
      </c>
      <c r="BB421" s="27" t="b">
        <f t="shared" si="3606"/>
        <v>1</v>
      </c>
      <c r="BC421" s="23">
        <f t="shared" si="3607"/>
        <v>242</v>
      </c>
      <c r="BD421" s="4" t="s">
        <v>1423</v>
      </c>
      <c r="BE421" s="3" t="s">
        <v>1422</v>
      </c>
      <c r="BF421" s="118">
        <v>3.7</v>
      </c>
      <c r="BG421" s="49" t="s">
        <v>1</v>
      </c>
      <c r="BH421" s="49" t="s">
        <v>1</v>
      </c>
      <c r="BI421" s="1"/>
      <c r="BJ421" s="70" t="s">
        <v>1281</v>
      </c>
      <c r="BK421" s="57" t="s">
        <v>1281</v>
      </c>
      <c r="BL421" s="57" t="s">
        <v>1281</v>
      </c>
      <c r="BM421" s="57" t="s">
        <v>1281</v>
      </c>
      <c r="BN421" s="57" t="s">
        <v>1281</v>
      </c>
      <c r="BO421" s="57" t="s">
        <v>1281</v>
      </c>
      <c r="BP421" s="57" t="s">
        <v>1281</v>
      </c>
      <c r="BQ421" s="57" t="s">
        <v>1281</v>
      </c>
      <c r="BR421" s="57" t="s">
        <v>1281</v>
      </c>
      <c r="BS421" s="57" t="s">
        <v>1281</v>
      </c>
      <c r="BT421" s="57" t="s">
        <v>1281</v>
      </c>
      <c r="BU421" s="57" t="s">
        <v>1281</v>
      </c>
      <c r="BV421" s="70">
        <f t="shared" si="3608"/>
        <v>138</v>
      </c>
      <c r="BW421" s="71">
        <f t="shared" si="3609"/>
        <v>170</v>
      </c>
      <c r="BX421" s="72">
        <f t="shared" si="3610"/>
        <v>174</v>
      </c>
      <c r="BY421" s="71" t="str">
        <f t="shared" si="3611"/>
        <v>-</v>
      </c>
      <c r="BZ421" s="72">
        <f t="shared" si="3612"/>
        <v>224</v>
      </c>
      <c r="CA421" s="71" t="str">
        <f t="shared" si="3613"/>
        <v>-</v>
      </c>
      <c r="CB421" s="72">
        <f t="shared" si="3614"/>
        <v>262</v>
      </c>
      <c r="CC421" s="71">
        <f t="shared" si="3615"/>
        <v>296</v>
      </c>
      <c r="CD421" s="72">
        <f t="shared" si="3616"/>
        <v>302</v>
      </c>
      <c r="CE421" s="71">
        <f t="shared" si="3617"/>
        <v>340</v>
      </c>
      <c r="CF421" s="72">
        <f t="shared" si="3618"/>
        <v>377</v>
      </c>
      <c r="CG421" s="71">
        <f t="shared" si="3619"/>
        <v>406</v>
      </c>
      <c r="CH421" s="70">
        <f t="shared" si="3620"/>
        <v>169</v>
      </c>
      <c r="CI421" s="71">
        <f t="shared" si="3621"/>
        <v>173</v>
      </c>
      <c r="CJ421" s="72">
        <f t="shared" si="3622"/>
        <v>206</v>
      </c>
      <c r="CK421" s="72" t="str">
        <f t="shared" si="3623"/>
        <v>-</v>
      </c>
      <c r="CL421" s="72">
        <f t="shared" si="3624"/>
        <v>257</v>
      </c>
      <c r="CM421" s="72" t="str">
        <f t="shared" si="3625"/>
        <v>-</v>
      </c>
      <c r="CN421" s="72">
        <f t="shared" si="3626"/>
        <v>291</v>
      </c>
      <c r="CO421" s="72">
        <f t="shared" si="3627"/>
        <v>298</v>
      </c>
      <c r="CP421" s="72">
        <f t="shared" si="3628"/>
        <v>335</v>
      </c>
      <c r="CQ421" s="72">
        <f t="shared" si="3629"/>
        <v>369</v>
      </c>
      <c r="CR421" s="72">
        <f t="shared" si="3630"/>
        <v>405</v>
      </c>
      <c r="CS421" s="72">
        <f t="shared" si="3631"/>
        <v>416</v>
      </c>
      <c r="CT421" s="23">
        <f t="shared" si="3632"/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29" x14ac:dyDescent="0.2">
      <c r="A422" s="3" t="str">
        <f t="shared" si="3605"/>
        <v>glp1r_human_6B3J</v>
      </c>
      <c r="B422" s="3" t="s">
        <v>405</v>
      </c>
      <c r="C422" s="3" t="s">
        <v>1467</v>
      </c>
      <c r="D422" s="3" t="str">
        <f>IFERROR(MID(VLOOKUP($B422,Seqs!$A:$B,2,0),E422,1),"")</f>
        <v>E</v>
      </c>
      <c r="E422" s="3">
        <v>138</v>
      </c>
      <c r="F422" s="3" t="str">
        <f>IFERROR(MID(VLOOKUP($B422,Seqs!$A:$B,2,0),G422,1),"")</f>
        <v>F</v>
      </c>
      <c r="G422" s="3">
        <v>169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C</v>
      </c>
      <c r="M422" s="23">
        <v>174</v>
      </c>
      <c r="N422" s="3" t="str">
        <f>IFERROR(MID(VLOOKUP($B422,Seqs!$A:$B,2,0),O422,1),"")</f>
        <v>Y</v>
      </c>
      <c r="O422" s="3">
        <v>205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S</v>
      </c>
      <c r="U422" s="3">
        <v>225</v>
      </c>
      <c r="V422" s="3" t="str">
        <f>IFERROR(MID(VLOOKUP($B422,Seqs!$A:$B,2,0),W422,1),"")</f>
        <v>F</v>
      </c>
      <c r="W422" s="3">
        <v>257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S</v>
      </c>
      <c r="AC422" s="3">
        <v>261</v>
      </c>
      <c r="AD422" s="3" t="str">
        <f>IFERROR(MID(VLOOKUP($B422,Seqs!$A:$B,2,0),AE422,1),"")</f>
        <v>E</v>
      </c>
      <c r="AE422" s="3">
        <v>292</v>
      </c>
      <c r="AF422" s="3" t="str">
        <f>IFERROR(MID(VLOOKUP($B422,Seqs!$A:$B,2,0),AG422,1),"")</f>
        <v>C</v>
      </c>
      <c r="AG422" s="3">
        <v>296</v>
      </c>
      <c r="AH422" s="3" t="str">
        <f>IFERROR(MID(VLOOKUP($B422,Seqs!$A:$B,2,0),AI422,1),"")</f>
        <v>T</v>
      </c>
      <c r="AI422" s="3">
        <v>298</v>
      </c>
      <c r="AJ422" s="3" t="str">
        <f>IFERROR(MID(VLOOKUP($B422,Seqs!$A:$B,2,0),AK422,1),"")</f>
        <v>N</v>
      </c>
      <c r="AK422" s="3">
        <v>302</v>
      </c>
      <c r="AL422" s="3" t="str">
        <f>IFERROR(MID(VLOOKUP($B422,Seqs!$A:$B,2,0),AM422,1),"")</f>
        <v>A</v>
      </c>
      <c r="AM422" s="3">
        <v>337</v>
      </c>
      <c r="AN422" s="3" t="str">
        <f>IFERROR(MID(VLOOKUP($B422,Seqs!$A:$B,2,0),AO422,1),"")</f>
        <v>D</v>
      </c>
      <c r="AO422" s="3">
        <v>344</v>
      </c>
      <c r="AP422" s="3" t="str">
        <f>IFERROR(MID(VLOOKUP($B422,Seqs!$A:$B,2,0),AQ422,1),"")</f>
        <v>F</v>
      </c>
      <c r="AQ422" s="3">
        <v>369</v>
      </c>
      <c r="AR422" s="3" t="str">
        <f>IFERROR(MID(VLOOKUP($B422,Seqs!$A:$B,2,0),AS422,1),"")</f>
        <v>R</v>
      </c>
      <c r="AS422" s="3">
        <v>380</v>
      </c>
      <c r="AT422" s="3" t="str">
        <f>IFERROR(MID(VLOOKUP($B422,Seqs!$A:$B,2,0),AU422,1),"")</f>
        <v>V</v>
      </c>
      <c r="AU422" s="3">
        <v>405</v>
      </c>
      <c r="AV422" s="3" t="str">
        <f>IFERROR(MID(VLOOKUP($B422,Seqs!$A:$B,2,0),AW422,1),"")</f>
        <v>N</v>
      </c>
      <c r="AW422" s="3">
        <v>406</v>
      </c>
      <c r="AX422" s="3" t="str">
        <f>IFERROR(MID(VLOOKUP($B422,Seqs!$A:$B,2,0),AY422,1),"")</f>
        <v>E</v>
      </c>
      <c r="AY422" s="3">
        <v>423</v>
      </c>
      <c r="AZ422" s="77" t="str">
        <f>VLOOKUP(B422,Classification!A:D,2,0)</f>
        <v>B1</v>
      </c>
      <c r="BA422" s="94" t="str">
        <f>VLOOKUP(B422,Classification!A:D,4,0)</f>
        <v>Glucagonreceptorfamily</v>
      </c>
      <c r="BB422" s="27" t="b">
        <f t="shared" si="3606"/>
        <v>1</v>
      </c>
      <c r="BC422" s="23">
        <f t="shared" si="3607"/>
        <v>241</v>
      </c>
      <c r="BD422" s="4" t="s">
        <v>1369</v>
      </c>
      <c r="BE422" s="3" t="s">
        <v>1285</v>
      </c>
      <c r="BF422" s="118">
        <v>3.3</v>
      </c>
      <c r="BG422" s="49" t="s">
        <v>1416</v>
      </c>
      <c r="BH422" s="49" t="s">
        <v>1416</v>
      </c>
      <c r="BI422" s="1"/>
      <c r="BJ422" s="70" t="s">
        <v>1281</v>
      </c>
      <c r="BK422" s="57" t="s">
        <v>1281</v>
      </c>
      <c r="BL422" s="57" t="s">
        <v>1281</v>
      </c>
      <c r="BM422" s="57" t="s">
        <v>1281</v>
      </c>
      <c r="BN422" s="57" t="s">
        <v>1281</v>
      </c>
      <c r="BO422" s="57" t="s">
        <v>1281</v>
      </c>
      <c r="BP422" s="57" t="s">
        <v>1281</v>
      </c>
      <c r="BQ422" s="57" t="s">
        <v>1281</v>
      </c>
      <c r="BR422" s="57" t="s">
        <v>1281</v>
      </c>
      <c r="BS422" s="57" t="s">
        <v>1281</v>
      </c>
      <c r="BT422" s="57" t="s">
        <v>1281</v>
      </c>
      <c r="BU422" s="57" t="s">
        <v>1281</v>
      </c>
      <c r="BV422" s="70">
        <f t="shared" si="3608"/>
        <v>138</v>
      </c>
      <c r="BW422" s="71" t="str">
        <f t="shared" si="3609"/>
        <v>-</v>
      </c>
      <c r="BX422" s="72">
        <f t="shared" si="3610"/>
        <v>174</v>
      </c>
      <c r="BY422" s="71" t="str">
        <f t="shared" si="3611"/>
        <v>-</v>
      </c>
      <c r="BZ422" s="72">
        <f t="shared" si="3612"/>
        <v>225</v>
      </c>
      <c r="CA422" s="71" t="str">
        <f t="shared" si="3613"/>
        <v>-</v>
      </c>
      <c r="CB422" s="72">
        <f t="shared" si="3614"/>
        <v>261</v>
      </c>
      <c r="CC422" s="71">
        <f t="shared" si="3615"/>
        <v>296</v>
      </c>
      <c r="CD422" s="72">
        <f t="shared" si="3616"/>
        <v>302</v>
      </c>
      <c r="CE422" s="71">
        <f t="shared" si="3617"/>
        <v>344</v>
      </c>
      <c r="CF422" s="72">
        <f t="shared" si="3618"/>
        <v>380</v>
      </c>
      <c r="CG422" s="71">
        <f t="shared" si="3619"/>
        <v>406</v>
      </c>
      <c r="CH422" s="70">
        <f t="shared" si="3620"/>
        <v>169</v>
      </c>
      <c r="CI422" s="71" t="str">
        <f t="shared" si="3621"/>
        <v>-</v>
      </c>
      <c r="CJ422" s="72">
        <f t="shared" si="3622"/>
        <v>205</v>
      </c>
      <c r="CK422" s="72" t="str">
        <f t="shared" si="3623"/>
        <v>-</v>
      </c>
      <c r="CL422" s="72">
        <f t="shared" si="3624"/>
        <v>257</v>
      </c>
      <c r="CM422" s="72" t="str">
        <f t="shared" si="3625"/>
        <v>-</v>
      </c>
      <c r="CN422" s="72">
        <f t="shared" si="3626"/>
        <v>292</v>
      </c>
      <c r="CO422" s="72">
        <f t="shared" si="3627"/>
        <v>298</v>
      </c>
      <c r="CP422" s="72">
        <f t="shared" si="3628"/>
        <v>337</v>
      </c>
      <c r="CQ422" s="72">
        <f t="shared" si="3629"/>
        <v>369</v>
      </c>
      <c r="CR422" s="72">
        <f t="shared" si="3630"/>
        <v>405</v>
      </c>
      <c r="CS422" s="72">
        <f t="shared" si="3631"/>
        <v>423</v>
      </c>
      <c r="CT422" s="23" t="e">
        <f t="shared" si="3632"/>
        <v>#VALUE!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29" s="12" customFormat="1" x14ac:dyDescent="0.2">
      <c r="A423" s="9" t="str">
        <f t="shared" ref="A423" si="3689">CONCATENATE(B423,"_",C423)</f>
        <v>glp1r_human_6KJV</v>
      </c>
      <c r="B423" s="9" t="s">
        <v>405</v>
      </c>
      <c r="C423" s="9" t="s">
        <v>1598</v>
      </c>
      <c r="D423" s="9" t="str">
        <f>IFERROR(MID(VLOOKUP($B423,Seqs!$A:$B,2,0),E423,1),"")</f>
        <v>S</v>
      </c>
      <c r="E423" s="9">
        <v>136</v>
      </c>
      <c r="F423" s="9" t="str">
        <f>IFERROR(MID(VLOOKUP($B423,Seqs!$A:$B,2,0),G423,1),"")</f>
        <v>F</v>
      </c>
      <c r="G423" s="9">
        <v>169</v>
      </c>
      <c r="H423" s="9" t="str">
        <f>IFERROR(MID(VLOOKUP($B423,Seqs!$A:$B,2,0),I423,1),"")</f>
        <v>R</v>
      </c>
      <c r="I423" s="109">
        <v>170</v>
      </c>
      <c r="J423" s="9" t="str">
        <f>IFERROR(MID(VLOOKUP($B423,Seqs!$A:$B,2,0),K423,1),"")</f>
        <v>H</v>
      </c>
      <c r="K423" s="109">
        <v>173</v>
      </c>
      <c r="L423" s="9" t="str">
        <f>IFERROR(MID(VLOOKUP($B423,Seqs!$A:$B,2,0),M423,1),"")</f>
        <v>C</v>
      </c>
      <c r="M423" s="109">
        <v>174</v>
      </c>
      <c r="N423" s="9" t="str">
        <f>IFERROR(MID(VLOOKUP($B423,Seqs!$A:$B,2,0),O423,1),"")</f>
        <v>K</v>
      </c>
      <c r="O423" s="9">
        <v>202</v>
      </c>
      <c r="P423" s="9" t="str">
        <f>IFERROR(MID(VLOOKUP($B423,Seqs!$A:$B,2,0),Q423,1),"")</f>
        <v/>
      </c>
      <c r="Q423" s="9" t="s">
        <v>23</v>
      </c>
      <c r="R423" s="9" t="str">
        <f>IFERROR(MID(VLOOKUP($B423,Seqs!$A:$B,2,0),S423,1),"")</f>
        <v/>
      </c>
      <c r="S423" s="9" t="s">
        <v>23</v>
      </c>
      <c r="T423" s="9" t="str">
        <f>IFERROR(MID(VLOOKUP($B423,Seqs!$A:$B,2,0),U423,1),"")</f>
        <v>L</v>
      </c>
      <c r="U423" s="9">
        <v>224</v>
      </c>
      <c r="V423" s="9" t="str">
        <f>IFERROR(MID(VLOOKUP($B423,Seqs!$A:$B,2,0),W423,1),"")</f>
        <v>F</v>
      </c>
      <c r="W423" s="9">
        <v>257</v>
      </c>
      <c r="X423" s="9" t="str">
        <f>IFERROR(MID(VLOOKUP($B423,Seqs!$A:$B,2,0),Y423,1),"")</f>
        <v/>
      </c>
      <c r="Y423" s="9" t="s">
        <v>23</v>
      </c>
      <c r="Z423" s="9" t="str">
        <f>IFERROR(MID(VLOOKUP($B423,Seqs!$A:$B,2,0),AA423,1),"")</f>
        <v/>
      </c>
      <c r="AA423" s="9" t="s">
        <v>23</v>
      </c>
      <c r="AB423" s="9" t="str">
        <f>IFERROR(MID(VLOOKUP($B423,Seqs!$A:$B,2,0),AC423,1),"")</f>
        <v>E</v>
      </c>
      <c r="AC423" s="9">
        <v>262</v>
      </c>
      <c r="AD423" s="9" t="str">
        <f>IFERROR(MID(VLOOKUP($B423,Seqs!$A:$B,2,0),AE423,1),"")</f>
        <v>E</v>
      </c>
      <c r="AE423" s="9">
        <v>292</v>
      </c>
      <c r="AF423" s="9" t="str">
        <f>IFERROR(MID(VLOOKUP($B423,Seqs!$A:$B,2,0),AG423,1),"")</f>
        <v>C</v>
      </c>
      <c r="AG423" s="9">
        <v>296</v>
      </c>
      <c r="AH423" s="9" t="str">
        <f>IFERROR(MID(VLOOKUP($B423,Seqs!$A:$B,2,0),AI423,1),"")</f>
        <v>T</v>
      </c>
      <c r="AI423" s="9">
        <v>298</v>
      </c>
      <c r="AJ423" s="9" t="str">
        <f>IFERROR(MID(VLOOKUP($B423,Seqs!$A:$B,2,0),AK423,1),"")</f>
        <v>M</v>
      </c>
      <c r="AK423" s="9">
        <v>303</v>
      </c>
      <c r="AL423" s="9" t="str">
        <f>IFERROR(MID(VLOOKUP($B423,Seqs!$A:$B,2,0),AM423,1),"")</f>
        <v>N</v>
      </c>
      <c r="AM423" s="9">
        <v>338</v>
      </c>
      <c r="AN423" s="9" t="str">
        <f>IFERROR(MID(VLOOKUP($B423,Seqs!$A:$B,2,0),AO423,1),"")</f>
        <v>D</v>
      </c>
      <c r="AO423" s="9">
        <v>344</v>
      </c>
      <c r="AP423" s="9" t="str">
        <f>IFERROR(MID(VLOOKUP($B423,Seqs!$A:$B,2,0),AQ423,1),"")</f>
        <v>F</v>
      </c>
      <c r="AQ423" s="9">
        <v>367</v>
      </c>
      <c r="AR423" s="9" t="str">
        <f>IFERROR(MID(VLOOKUP($B423,Seqs!$A:$B,2,0),AS423,1),"")</f>
        <v>R</v>
      </c>
      <c r="AS423" s="9">
        <v>380</v>
      </c>
      <c r="AT423" s="9" t="str">
        <f>IFERROR(MID(VLOOKUP($B423,Seqs!$A:$B,2,0),AU423,1),"")</f>
        <v>V</v>
      </c>
      <c r="AU423" s="9">
        <v>405</v>
      </c>
      <c r="AV423" s="9" t="str">
        <f>IFERROR(MID(VLOOKUP($B423,Seqs!$A:$B,2,0),AW423,1),"")</f>
        <v>N</v>
      </c>
      <c r="AW423" s="9">
        <v>406</v>
      </c>
      <c r="AX423" s="9" t="str">
        <f>IFERROR(MID(VLOOKUP($B423,Seqs!$A:$B,2,0),AY423,1),"")</f>
        <v>L</v>
      </c>
      <c r="AY423" s="9">
        <v>422</v>
      </c>
      <c r="AZ423" s="110" t="str">
        <f>VLOOKUP(B423,Classification!A:D,2,0)</f>
        <v>B1</v>
      </c>
      <c r="BA423" s="98" t="str">
        <f>VLOOKUP(B423,Classification!A:D,4,0)</f>
        <v>Glucagonreceptorfamily</v>
      </c>
      <c r="BB423" s="36" t="b">
        <f t="shared" ref="BB423" si="3690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109">
        <f t="shared" ref="BC423" si="3691">_xlfn.AGGREGATE(9,6,CH423:CS423)-_xlfn.AGGREGATE(9,6,BV423:CG423)+12</f>
        <v>240</v>
      </c>
      <c r="BD423" s="11" t="s">
        <v>23</v>
      </c>
      <c r="BE423" s="9" t="s">
        <v>1368</v>
      </c>
      <c r="BF423" s="119">
        <v>2.8</v>
      </c>
      <c r="BG423" s="51" t="s">
        <v>1275</v>
      </c>
      <c r="BH423" s="51" t="s">
        <v>1275</v>
      </c>
      <c r="BJ423" s="111" t="s">
        <v>1281</v>
      </c>
      <c r="BK423" s="112" t="s">
        <v>1281</v>
      </c>
      <c r="BL423" s="112" t="s">
        <v>1281</v>
      </c>
      <c r="BM423" s="112" t="s">
        <v>1281</v>
      </c>
      <c r="BN423" s="112" t="s">
        <v>1281</v>
      </c>
      <c r="BO423" s="112" t="s">
        <v>1281</v>
      </c>
      <c r="BP423" s="112" t="s">
        <v>1281</v>
      </c>
      <c r="BQ423" s="112" t="s">
        <v>1281</v>
      </c>
      <c r="BR423" s="112" t="s">
        <v>1281</v>
      </c>
      <c r="BS423" s="112" t="s">
        <v>1281</v>
      </c>
      <c r="BT423" s="112" t="s">
        <v>1281</v>
      </c>
      <c r="BU423" s="112" t="s">
        <v>1281</v>
      </c>
      <c r="BV423" s="111">
        <f t="shared" ref="BV423" si="3692">E423</f>
        <v>136</v>
      </c>
      <c r="BW423" s="113">
        <f t="shared" ref="BW423" si="3693">I423</f>
        <v>170</v>
      </c>
      <c r="BX423" s="114">
        <f t="shared" ref="BX423" si="3694">M423</f>
        <v>174</v>
      </c>
      <c r="BY423" s="113" t="str">
        <f t="shared" ref="BY423" si="3695">Q423</f>
        <v>-</v>
      </c>
      <c r="BZ423" s="114">
        <f t="shared" ref="BZ423" si="3696">U423</f>
        <v>224</v>
      </c>
      <c r="CA423" s="113" t="str">
        <f t="shared" ref="CA423" si="3697">Y423</f>
        <v>-</v>
      </c>
      <c r="CB423" s="114">
        <f t="shared" ref="CB423" si="3698">AC423</f>
        <v>262</v>
      </c>
      <c r="CC423" s="113">
        <f t="shared" ref="CC423" si="3699">AG423</f>
        <v>296</v>
      </c>
      <c r="CD423" s="114">
        <f t="shared" ref="CD423" si="3700">AK423</f>
        <v>303</v>
      </c>
      <c r="CE423" s="113">
        <f t="shared" ref="CE423" si="3701">AO423</f>
        <v>344</v>
      </c>
      <c r="CF423" s="114">
        <f t="shared" ref="CF423" si="3702">AS423</f>
        <v>380</v>
      </c>
      <c r="CG423" s="113">
        <f t="shared" ref="CG423" si="3703">AW423</f>
        <v>406</v>
      </c>
      <c r="CH423" s="111">
        <f t="shared" ref="CH423" si="3704">G423</f>
        <v>169</v>
      </c>
      <c r="CI423" s="113">
        <f t="shared" ref="CI423" si="3705">K423</f>
        <v>173</v>
      </c>
      <c r="CJ423" s="114">
        <f t="shared" ref="CJ423" si="3706">O423</f>
        <v>202</v>
      </c>
      <c r="CK423" s="114" t="str">
        <f t="shared" ref="CK423" si="3707">S423</f>
        <v>-</v>
      </c>
      <c r="CL423" s="114">
        <f t="shared" ref="CL423" si="3708">W423</f>
        <v>257</v>
      </c>
      <c r="CM423" s="114" t="str">
        <f t="shared" ref="CM423" si="3709">AA423</f>
        <v>-</v>
      </c>
      <c r="CN423" s="114">
        <f t="shared" ref="CN423" si="3710">AE423</f>
        <v>292</v>
      </c>
      <c r="CO423" s="114">
        <f t="shared" ref="CO423" si="3711">AI423</f>
        <v>298</v>
      </c>
      <c r="CP423" s="114">
        <f t="shared" ref="CP423" si="3712">AM423</f>
        <v>338</v>
      </c>
      <c r="CQ423" s="114">
        <f t="shared" ref="CQ423" si="3713">AQ423</f>
        <v>367</v>
      </c>
      <c r="CR423" s="114">
        <f t="shared" ref="CR423" si="3714">AU423</f>
        <v>405</v>
      </c>
      <c r="CS423" s="114">
        <f t="shared" ref="CS423" si="3715">AY423</f>
        <v>422</v>
      </c>
      <c r="CT423" s="109">
        <f t="shared" ref="CT423" si="3716">M423-K423</f>
        <v>1</v>
      </c>
    </row>
    <row r="424" spans="1:1029" s="12" customFormat="1" x14ac:dyDescent="0.2">
      <c r="A424" s="9" t="str">
        <f t="shared" ref="A424" si="3717">CONCATENATE(B424,"_",C424)</f>
        <v>glp1r_human_6KK1</v>
      </c>
      <c r="B424" s="9" t="s">
        <v>405</v>
      </c>
      <c r="C424" s="9" t="s">
        <v>1599</v>
      </c>
      <c r="D424" s="9" t="str">
        <f>IFERROR(MID(VLOOKUP($B424,Seqs!$A:$B,2,0),E424,1),"")</f>
        <v>S</v>
      </c>
      <c r="E424" s="9">
        <v>136</v>
      </c>
      <c r="F424" s="9" t="str">
        <f>IFERROR(MID(VLOOKUP($B424,Seqs!$A:$B,2,0),G424,1),"")</f>
        <v>F</v>
      </c>
      <c r="G424" s="9">
        <v>169</v>
      </c>
      <c r="H424" s="9" t="str">
        <f>IFERROR(MID(VLOOKUP($B424,Seqs!$A:$B,2,0),I424,1),"")</f>
        <v>R</v>
      </c>
      <c r="I424" s="109">
        <v>170</v>
      </c>
      <c r="J424" s="9" t="str">
        <f>IFERROR(MID(VLOOKUP($B424,Seqs!$A:$B,2,0),K424,1),"")</f>
        <v>H</v>
      </c>
      <c r="K424" s="109">
        <v>173</v>
      </c>
      <c r="L424" s="9" t="str">
        <f>IFERROR(MID(VLOOKUP($B424,Seqs!$A:$B,2,0),M424,1),"")</f>
        <v>C</v>
      </c>
      <c r="M424" s="109">
        <v>174</v>
      </c>
      <c r="N424" s="9" t="str">
        <f>IFERROR(MID(VLOOKUP($B424,Seqs!$A:$B,2,0),O424,1),"")</f>
        <v>K</v>
      </c>
      <c r="O424" s="9">
        <v>202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224</v>
      </c>
      <c r="V424" s="9" t="str">
        <f>IFERROR(MID(VLOOKUP($B424,Seqs!$A:$B,2,0),W424,1),"")</f>
        <v>F</v>
      </c>
      <c r="W424" s="9">
        <v>257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E</v>
      </c>
      <c r="AC424" s="9">
        <v>262</v>
      </c>
      <c r="AD424" s="9" t="str">
        <f>IFERROR(MID(VLOOKUP($B424,Seqs!$A:$B,2,0),AE424,1),"")</f>
        <v>E</v>
      </c>
      <c r="AE424" s="9">
        <v>292</v>
      </c>
      <c r="AF424" s="9" t="str">
        <f>IFERROR(MID(VLOOKUP($B424,Seqs!$A:$B,2,0),AG424,1),"")</f>
        <v>C</v>
      </c>
      <c r="AG424" s="9">
        <v>296</v>
      </c>
      <c r="AH424" s="9" t="str">
        <f>IFERROR(MID(VLOOKUP($B424,Seqs!$A:$B,2,0),AI424,1),"")</f>
        <v>T</v>
      </c>
      <c r="AI424" s="9">
        <v>298</v>
      </c>
      <c r="AJ424" s="9" t="str">
        <f>IFERROR(MID(VLOOKUP($B424,Seqs!$A:$B,2,0),AK424,1),"")</f>
        <v>M</v>
      </c>
      <c r="AK424" s="9">
        <v>303</v>
      </c>
      <c r="AL424" s="9" t="str">
        <f>IFERROR(MID(VLOOKUP($B424,Seqs!$A:$B,2,0),AM424,1),"")</f>
        <v>N</v>
      </c>
      <c r="AM424" s="9">
        <v>338</v>
      </c>
      <c r="AN424" s="9" t="str">
        <f>IFERROR(MID(VLOOKUP($B424,Seqs!$A:$B,2,0),AO424,1),"")</f>
        <v>D</v>
      </c>
      <c r="AO424" s="9">
        <v>344</v>
      </c>
      <c r="AP424" s="9" t="str">
        <f>IFERROR(MID(VLOOKUP($B424,Seqs!$A:$B,2,0),AQ424,1),"")</f>
        <v>F</v>
      </c>
      <c r="AQ424" s="9">
        <v>367</v>
      </c>
      <c r="AR424" s="9" t="str">
        <f>IFERROR(MID(VLOOKUP($B424,Seqs!$A:$B,2,0),AS424,1),"")</f>
        <v>R</v>
      </c>
      <c r="AS424" s="9">
        <v>380</v>
      </c>
      <c r="AT424" s="9" t="str">
        <f>IFERROR(MID(VLOOKUP($B424,Seqs!$A:$B,2,0),AU424,1),"")</f>
        <v>V</v>
      </c>
      <c r="AU424" s="9">
        <v>405</v>
      </c>
      <c r="AV424" s="9" t="str">
        <f>IFERROR(MID(VLOOKUP($B424,Seqs!$A:$B,2,0),AW424,1),"")</f>
        <v>N</v>
      </c>
      <c r="AW424" s="9">
        <v>406</v>
      </c>
      <c r="AX424" s="9" t="str">
        <f>IFERROR(MID(VLOOKUP($B424,Seqs!$A:$B,2,0),AY424,1),"")</f>
        <v>L</v>
      </c>
      <c r="AY424" s="9">
        <v>422</v>
      </c>
      <c r="AZ424" s="110" t="str">
        <f>VLOOKUP(B424,Classification!A:D,2,0)</f>
        <v>B1</v>
      </c>
      <c r="BA424" s="98" t="str">
        <f>VLOOKUP(B424,Classification!A:D,4,0)</f>
        <v>Glucagonreceptorfamily</v>
      </c>
      <c r="BB424" s="36" t="b">
        <f t="shared" ref="BB424" si="3718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109">
        <f t="shared" ref="BC424" si="3719">_xlfn.AGGREGATE(9,6,CH424:CS424)-_xlfn.AGGREGATE(9,6,BV424:CG424)+12</f>
        <v>240</v>
      </c>
      <c r="BD424" s="11" t="s">
        <v>23</v>
      </c>
      <c r="BE424" s="9" t="s">
        <v>1368</v>
      </c>
      <c r="BF424" s="119">
        <v>2.8</v>
      </c>
      <c r="BG424" s="51" t="s">
        <v>1275</v>
      </c>
      <c r="BH424" s="51" t="s">
        <v>1275</v>
      </c>
      <c r="BJ424" s="111" t="s">
        <v>1281</v>
      </c>
      <c r="BK424" s="112" t="s">
        <v>1281</v>
      </c>
      <c r="BL424" s="112" t="s">
        <v>1281</v>
      </c>
      <c r="BM424" s="112" t="s">
        <v>1281</v>
      </c>
      <c r="BN424" s="112" t="s">
        <v>1281</v>
      </c>
      <c r="BO424" s="112" t="s">
        <v>1281</v>
      </c>
      <c r="BP424" s="112" t="s">
        <v>1281</v>
      </c>
      <c r="BQ424" s="112" t="s">
        <v>1281</v>
      </c>
      <c r="BR424" s="112" t="s">
        <v>1281</v>
      </c>
      <c r="BS424" s="112" t="s">
        <v>1281</v>
      </c>
      <c r="BT424" s="112" t="s">
        <v>1281</v>
      </c>
      <c r="BU424" s="112" t="s">
        <v>1281</v>
      </c>
      <c r="BV424" s="111">
        <f t="shared" ref="BV424" si="3720">E424</f>
        <v>136</v>
      </c>
      <c r="BW424" s="113">
        <f t="shared" ref="BW424" si="3721">I424</f>
        <v>170</v>
      </c>
      <c r="BX424" s="114">
        <f t="shared" ref="BX424" si="3722">M424</f>
        <v>174</v>
      </c>
      <c r="BY424" s="113" t="str">
        <f t="shared" ref="BY424" si="3723">Q424</f>
        <v>-</v>
      </c>
      <c r="BZ424" s="114">
        <f t="shared" ref="BZ424" si="3724">U424</f>
        <v>224</v>
      </c>
      <c r="CA424" s="113" t="str">
        <f t="shared" ref="CA424" si="3725">Y424</f>
        <v>-</v>
      </c>
      <c r="CB424" s="114">
        <f t="shared" ref="CB424" si="3726">AC424</f>
        <v>262</v>
      </c>
      <c r="CC424" s="113">
        <f t="shared" ref="CC424" si="3727">AG424</f>
        <v>296</v>
      </c>
      <c r="CD424" s="114">
        <f t="shared" ref="CD424" si="3728">AK424</f>
        <v>303</v>
      </c>
      <c r="CE424" s="113">
        <f t="shared" ref="CE424" si="3729">AO424</f>
        <v>344</v>
      </c>
      <c r="CF424" s="114">
        <f t="shared" ref="CF424" si="3730">AS424</f>
        <v>380</v>
      </c>
      <c r="CG424" s="113">
        <f t="shared" ref="CG424" si="3731">AW424</f>
        <v>406</v>
      </c>
      <c r="CH424" s="111">
        <f t="shared" ref="CH424" si="3732">G424</f>
        <v>169</v>
      </c>
      <c r="CI424" s="113">
        <f t="shared" ref="CI424" si="3733">K424</f>
        <v>173</v>
      </c>
      <c r="CJ424" s="114">
        <f t="shared" ref="CJ424" si="3734">O424</f>
        <v>202</v>
      </c>
      <c r="CK424" s="114" t="str">
        <f t="shared" ref="CK424" si="3735">S424</f>
        <v>-</v>
      </c>
      <c r="CL424" s="114">
        <f t="shared" ref="CL424" si="3736">W424</f>
        <v>257</v>
      </c>
      <c r="CM424" s="114" t="str">
        <f t="shared" ref="CM424" si="3737">AA424</f>
        <v>-</v>
      </c>
      <c r="CN424" s="114">
        <f t="shared" ref="CN424" si="3738">AE424</f>
        <v>292</v>
      </c>
      <c r="CO424" s="114">
        <f t="shared" ref="CO424" si="3739">AI424</f>
        <v>298</v>
      </c>
      <c r="CP424" s="114">
        <f t="shared" ref="CP424" si="3740">AM424</f>
        <v>338</v>
      </c>
      <c r="CQ424" s="114">
        <f t="shared" ref="CQ424" si="3741">AQ424</f>
        <v>367</v>
      </c>
      <c r="CR424" s="114">
        <f t="shared" ref="CR424" si="3742">AU424</f>
        <v>405</v>
      </c>
      <c r="CS424" s="114">
        <f t="shared" ref="CS424" si="3743">AY424</f>
        <v>422</v>
      </c>
      <c r="CT424" s="109">
        <f t="shared" ref="CT424" si="3744">M424-K424</f>
        <v>1</v>
      </c>
    </row>
    <row r="425" spans="1:1029" s="12" customFormat="1" x14ac:dyDescent="0.2">
      <c r="A425" s="9" t="str">
        <f t="shared" ref="A425" si="3745">CONCATENATE(B425,"_",C425)</f>
        <v>glp1r_human_6KK7</v>
      </c>
      <c r="B425" s="9" t="s">
        <v>405</v>
      </c>
      <c r="C425" s="9" t="s">
        <v>1600</v>
      </c>
      <c r="D425" s="9" t="str">
        <f>IFERROR(MID(VLOOKUP($B425,Seqs!$A:$B,2,0),E425,1),"")</f>
        <v>S</v>
      </c>
      <c r="E425" s="9">
        <v>136</v>
      </c>
      <c r="F425" s="9" t="str">
        <f>IFERROR(MID(VLOOKUP($B425,Seqs!$A:$B,2,0),G425,1),"")</f>
        <v>F</v>
      </c>
      <c r="G425" s="9">
        <v>169</v>
      </c>
      <c r="H425" s="9" t="str">
        <f>IFERROR(MID(VLOOKUP($B425,Seqs!$A:$B,2,0),I425,1),"")</f>
        <v>R</v>
      </c>
      <c r="I425" s="109">
        <v>170</v>
      </c>
      <c r="J425" s="9" t="str">
        <f>IFERROR(MID(VLOOKUP($B425,Seqs!$A:$B,2,0),K425,1),"")</f>
        <v>H</v>
      </c>
      <c r="K425" s="109">
        <v>173</v>
      </c>
      <c r="L425" s="9" t="str">
        <f>IFERROR(MID(VLOOKUP($B425,Seqs!$A:$B,2,0),M425,1),"")</f>
        <v>C</v>
      </c>
      <c r="M425" s="109">
        <v>174</v>
      </c>
      <c r="N425" s="9" t="str">
        <f>IFERROR(MID(VLOOKUP($B425,Seqs!$A:$B,2,0),O425,1),"")</f>
        <v>K</v>
      </c>
      <c r="O425" s="9">
        <v>202</v>
      </c>
      <c r="P425" s="9" t="str">
        <f>IFERROR(MID(VLOOKUP($B425,Seqs!$A:$B,2,0),Q425,1),"")</f>
        <v/>
      </c>
      <c r="Q425" s="9" t="s">
        <v>23</v>
      </c>
      <c r="R425" s="9" t="str">
        <f>IFERROR(MID(VLOOKUP($B425,Seqs!$A:$B,2,0),S425,1),"")</f>
        <v/>
      </c>
      <c r="S425" s="9" t="s">
        <v>23</v>
      </c>
      <c r="T425" s="9" t="str">
        <f>IFERROR(MID(VLOOKUP($B425,Seqs!$A:$B,2,0),U425,1),"")</f>
        <v>L</v>
      </c>
      <c r="U425" s="9">
        <v>224</v>
      </c>
      <c r="V425" s="9" t="str">
        <f>IFERROR(MID(VLOOKUP($B425,Seqs!$A:$B,2,0),W425,1),"")</f>
        <v>F</v>
      </c>
      <c r="W425" s="9">
        <v>257</v>
      </c>
      <c r="X425" s="9" t="str">
        <f>IFERROR(MID(VLOOKUP($B425,Seqs!$A:$B,2,0),Y425,1),"")</f>
        <v/>
      </c>
      <c r="Y425" s="9" t="s">
        <v>23</v>
      </c>
      <c r="Z425" s="9" t="str">
        <f>IFERROR(MID(VLOOKUP($B425,Seqs!$A:$B,2,0),AA425,1),"")</f>
        <v/>
      </c>
      <c r="AA425" s="9" t="s">
        <v>23</v>
      </c>
      <c r="AB425" s="9" t="str">
        <f>IFERROR(MID(VLOOKUP($B425,Seqs!$A:$B,2,0),AC425,1),"")</f>
        <v>E</v>
      </c>
      <c r="AC425" s="9">
        <v>262</v>
      </c>
      <c r="AD425" s="9" t="str">
        <f>IFERROR(MID(VLOOKUP($B425,Seqs!$A:$B,2,0),AE425,1),"")</f>
        <v>E</v>
      </c>
      <c r="AE425" s="9">
        <v>292</v>
      </c>
      <c r="AF425" s="9" t="str">
        <f>IFERROR(MID(VLOOKUP($B425,Seqs!$A:$B,2,0),AG425,1),"")</f>
        <v>C</v>
      </c>
      <c r="AG425" s="9">
        <v>296</v>
      </c>
      <c r="AH425" s="9" t="str">
        <f>IFERROR(MID(VLOOKUP($B425,Seqs!$A:$B,2,0),AI425,1),"")</f>
        <v>T</v>
      </c>
      <c r="AI425" s="9">
        <v>298</v>
      </c>
      <c r="AJ425" s="9" t="str">
        <f>IFERROR(MID(VLOOKUP($B425,Seqs!$A:$B,2,0),AK425,1),"")</f>
        <v>M</v>
      </c>
      <c r="AK425" s="9">
        <v>303</v>
      </c>
      <c r="AL425" s="9" t="str">
        <f>IFERROR(MID(VLOOKUP($B425,Seqs!$A:$B,2,0),AM425,1),"")</f>
        <v>N</v>
      </c>
      <c r="AM425" s="9">
        <v>338</v>
      </c>
      <c r="AN425" s="9" t="str">
        <f>IFERROR(MID(VLOOKUP($B425,Seqs!$A:$B,2,0),AO425,1),"")</f>
        <v>D</v>
      </c>
      <c r="AO425" s="9">
        <v>344</v>
      </c>
      <c r="AP425" s="9" t="str">
        <f>IFERROR(MID(VLOOKUP($B425,Seqs!$A:$B,2,0),AQ425,1),"")</f>
        <v>F</v>
      </c>
      <c r="AQ425" s="9">
        <v>367</v>
      </c>
      <c r="AR425" s="9" t="str">
        <f>IFERROR(MID(VLOOKUP($B425,Seqs!$A:$B,2,0),AS425,1),"")</f>
        <v>R</v>
      </c>
      <c r="AS425" s="9">
        <v>380</v>
      </c>
      <c r="AT425" s="9" t="str">
        <f>IFERROR(MID(VLOOKUP($B425,Seqs!$A:$B,2,0),AU425,1),"")</f>
        <v>V</v>
      </c>
      <c r="AU425" s="9">
        <v>405</v>
      </c>
      <c r="AV425" s="9" t="str">
        <f>IFERROR(MID(VLOOKUP($B425,Seqs!$A:$B,2,0),AW425,1),"")</f>
        <v>N</v>
      </c>
      <c r="AW425" s="9">
        <v>406</v>
      </c>
      <c r="AX425" s="9" t="str">
        <f>IFERROR(MID(VLOOKUP($B425,Seqs!$A:$B,2,0),AY425,1),"")</f>
        <v>L</v>
      </c>
      <c r="AY425" s="9">
        <v>422</v>
      </c>
      <c r="AZ425" s="110" t="str">
        <f>VLOOKUP(B425,Classification!A:D,2,0)</f>
        <v>B1</v>
      </c>
      <c r="BA425" s="98" t="str">
        <f>VLOOKUP(B425,Classification!A:D,4,0)</f>
        <v>Glucagonreceptorfamily</v>
      </c>
      <c r="BB425" s="36" t="b">
        <f t="shared" ref="BB425" si="3746">AND(E425&lt;G425,OR(G425&lt;I425,I425="-"),OR(I425&lt;K425,I425="-"),OR(K425&lt;M425,K425="-"),M425&lt;O425,OR(O425&lt;Q425,Q425="-"),OR(Q425&lt;S425,Q425="-"),OR(S425&lt;U425,S425="-"),U425&lt;W425,OR(W425&lt;Y425,Y425="-"),OR(Y425&lt;AA425,Y425="-"),OR(AA425&lt;AC425,AA425="-"),AC425&lt;AE425,OR(AE425&lt;AG425,AG425="-"),OR(AG425&lt;AI425,AG425="-"),OR(AI425&lt;AK425,AI425="-"),AK425&lt;AM425,AM425&lt;AO425,AO425&lt;AQ425,AQ425&lt;AS425,AS425&lt;AU425,OR(AU425&lt;AW425,AW425="-"),OR(AW425&lt;AY425,AW425="-"))</f>
        <v>1</v>
      </c>
      <c r="BC425" s="109">
        <f t="shared" ref="BC425" si="3747">_xlfn.AGGREGATE(9,6,CH425:CS425)-_xlfn.AGGREGATE(9,6,BV425:CG425)+12</f>
        <v>240</v>
      </c>
      <c r="BD425" s="11" t="s">
        <v>23</v>
      </c>
      <c r="BE425" s="9" t="s">
        <v>1368</v>
      </c>
      <c r="BF425" s="119">
        <v>2.8</v>
      </c>
      <c r="BG425" s="51" t="s">
        <v>1275</v>
      </c>
      <c r="BH425" s="51" t="s">
        <v>1275</v>
      </c>
      <c r="BJ425" s="111" t="s">
        <v>1281</v>
      </c>
      <c r="BK425" s="112" t="s">
        <v>1281</v>
      </c>
      <c r="BL425" s="112" t="s">
        <v>1281</v>
      </c>
      <c r="BM425" s="112" t="s">
        <v>1281</v>
      </c>
      <c r="BN425" s="112" t="s">
        <v>1281</v>
      </c>
      <c r="BO425" s="112" t="s">
        <v>1281</v>
      </c>
      <c r="BP425" s="112" t="s">
        <v>1281</v>
      </c>
      <c r="BQ425" s="112" t="s">
        <v>1281</v>
      </c>
      <c r="BR425" s="112" t="s">
        <v>1281</v>
      </c>
      <c r="BS425" s="112" t="s">
        <v>1281</v>
      </c>
      <c r="BT425" s="112" t="s">
        <v>1281</v>
      </c>
      <c r="BU425" s="112" t="s">
        <v>1281</v>
      </c>
      <c r="BV425" s="111">
        <f t="shared" ref="BV425" si="3748">E425</f>
        <v>136</v>
      </c>
      <c r="BW425" s="113">
        <f t="shared" ref="BW425" si="3749">I425</f>
        <v>170</v>
      </c>
      <c r="BX425" s="114">
        <f t="shared" ref="BX425" si="3750">M425</f>
        <v>174</v>
      </c>
      <c r="BY425" s="113" t="str">
        <f t="shared" ref="BY425" si="3751">Q425</f>
        <v>-</v>
      </c>
      <c r="BZ425" s="114">
        <f t="shared" ref="BZ425" si="3752">U425</f>
        <v>224</v>
      </c>
      <c r="CA425" s="113" t="str">
        <f t="shared" ref="CA425" si="3753">Y425</f>
        <v>-</v>
      </c>
      <c r="CB425" s="114">
        <f t="shared" ref="CB425" si="3754">AC425</f>
        <v>262</v>
      </c>
      <c r="CC425" s="113">
        <f t="shared" ref="CC425" si="3755">AG425</f>
        <v>296</v>
      </c>
      <c r="CD425" s="114">
        <f t="shared" ref="CD425" si="3756">AK425</f>
        <v>303</v>
      </c>
      <c r="CE425" s="113">
        <f t="shared" ref="CE425" si="3757">AO425</f>
        <v>344</v>
      </c>
      <c r="CF425" s="114">
        <f t="shared" ref="CF425" si="3758">AS425</f>
        <v>380</v>
      </c>
      <c r="CG425" s="113">
        <f t="shared" ref="CG425" si="3759">AW425</f>
        <v>406</v>
      </c>
      <c r="CH425" s="111">
        <f t="shared" ref="CH425" si="3760">G425</f>
        <v>169</v>
      </c>
      <c r="CI425" s="113">
        <f t="shared" ref="CI425" si="3761">K425</f>
        <v>173</v>
      </c>
      <c r="CJ425" s="114">
        <f t="shared" ref="CJ425" si="3762">O425</f>
        <v>202</v>
      </c>
      <c r="CK425" s="114" t="str">
        <f t="shared" ref="CK425" si="3763">S425</f>
        <v>-</v>
      </c>
      <c r="CL425" s="114">
        <f t="shared" ref="CL425" si="3764">W425</f>
        <v>257</v>
      </c>
      <c r="CM425" s="114" t="str">
        <f t="shared" ref="CM425" si="3765">AA425</f>
        <v>-</v>
      </c>
      <c r="CN425" s="114">
        <f t="shared" ref="CN425" si="3766">AE425</f>
        <v>292</v>
      </c>
      <c r="CO425" s="114">
        <f t="shared" ref="CO425" si="3767">AI425</f>
        <v>298</v>
      </c>
      <c r="CP425" s="114">
        <f t="shared" ref="CP425" si="3768">AM425</f>
        <v>338</v>
      </c>
      <c r="CQ425" s="114">
        <f t="shared" ref="CQ425" si="3769">AQ425</f>
        <v>367</v>
      </c>
      <c r="CR425" s="114">
        <f t="shared" ref="CR425" si="3770">AU425</f>
        <v>405</v>
      </c>
      <c r="CS425" s="114">
        <f t="shared" ref="CS425" si="3771">AY425</f>
        <v>422</v>
      </c>
      <c r="CT425" s="109">
        <f t="shared" ref="CT425" si="3772">M425-K425</f>
        <v>1</v>
      </c>
    </row>
    <row r="426" spans="1:1029" s="12" customFormat="1" x14ac:dyDescent="0.2">
      <c r="A426" s="9" t="str">
        <f t="shared" ref="A426" si="3773">CONCATENATE(B426,"_",C426)</f>
        <v>glp1r_human_6LN2</v>
      </c>
      <c r="B426" s="9" t="s">
        <v>405</v>
      </c>
      <c r="C426" s="9" t="s">
        <v>1662</v>
      </c>
      <c r="D426" s="9" t="str">
        <f>IFERROR(MID(VLOOKUP($B426,Seqs!$A:$B,2,0),E426,1),"")</f>
        <v>S</v>
      </c>
      <c r="E426" s="9">
        <v>135</v>
      </c>
      <c r="F426" s="9" t="str">
        <f>IFERROR(MID(VLOOKUP($B426,Seqs!$A:$B,2,0),G426,1),"")</f>
        <v>F</v>
      </c>
      <c r="G426" s="9">
        <v>169</v>
      </c>
      <c r="H426" s="9" t="str">
        <f>IFERROR(MID(VLOOKUP($B426,Seqs!$A:$B,2,0),I426,1),"")</f>
        <v>R</v>
      </c>
      <c r="I426" s="109">
        <v>170</v>
      </c>
      <c r="J426" s="9" t="str">
        <f>IFERROR(MID(VLOOKUP($B426,Seqs!$A:$B,2,0),K426,1),"")</f>
        <v>H</v>
      </c>
      <c r="K426" s="109">
        <v>173</v>
      </c>
      <c r="L426" s="9" t="str">
        <f>IFERROR(MID(VLOOKUP($B426,Seqs!$A:$B,2,0),M426,1),"")</f>
        <v>C</v>
      </c>
      <c r="M426" s="109">
        <v>174</v>
      </c>
      <c r="N426" s="9" t="str">
        <f>IFERROR(MID(VLOOKUP($B426,Seqs!$A:$B,2,0),O426,1),"")</f>
        <v>T</v>
      </c>
      <c r="O426" s="9">
        <v>207</v>
      </c>
      <c r="P426" s="9" t="str">
        <f>IFERROR(MID(VLOOKUP($B426,Seqs!$A:$B,2,0),Q426,1),"")</f>
        <v/>
      </c>
      <c r="Q426" s="9" t="s">
        <v>23</v>
      </c>
      <c r="R426" s="9" t="str">
        <f>IFERROR(MID(VLOOKUP($B426,Seqs!$A:$B,2,0),S426,1),"")</f>
        <v/>
      </c>
      <c r="S426" s="9" t="s">
        <v>23</v>
      </c>
      <c r="T426" s="9" t="str">
        <f>IFERROR(MID(VLOOKUP($B426,Seqs!$A:$B,2,0),U426,1),"")</f>
        <v>L</v>
      </c>
      <c r="U426" s="9">
        <v>224</v>
      </c>
      <c r="V426" s="9" t="str">
        <f>IFERROR(MID(VLOOKUP($B426,Seqs!$A:$B,2,0),W426,1),"")</f>
        <v>F</v>
      </c>
      <c r="W426" s="9">
        <v>257</v>
      </c>
      <c r="X426" s="9" t="str">
        <f>IFERROR(MID(VLOOKUP($B426,Seqs!$A:$B,2,0),Y426,1),"")</f>
        <v/>
      </c>
      <c r="Y426" s="9" t="s">
        <v>23</v>
      </c>
      <c r="Z426" s="9" t="str">
        <f>IFERROR(MID(VLOOKUP($B426,Seqs!$A:$B,2,0),AA426,1),"")</f>
        <v/>
      </c>
      <c r="AA426" s="9" t="s">
        <v>23</v>
      </c>
      <c r="AB426" s="9" t="str">
        <f>IFERROR(MID(VLOOKUP($B426,Seqs!$A:$B,2,0),AC426,1),"")</f>
        <v>Q</v>
      </c>
      <c r="AC426" s="9">
        <v>263</v>
      </c>
      <c r="AD426" s="9" t="str">
        <f>IFERROR(MID(VLOOKUP($B426,Seqs!$A:$B,2,0),AE426,1),"")</f>
        <v>Y</v>
      </c>
      <c r="AE426" s="9">
        <v>291</v>
      </c>
      <c r="AF426" s="9" t="str">
        <f>IFERROR(MID(VLOOKUP($B426,Seqs!$A:$B,2,0),AG426,1),"")</f>
        <v>C</v>
      </c>
      <c r="AG426" s="9">
        <v>296</v>
      </c>
      <c r="AH426" s="9" t="str">
        <f>IFERROR(MID(VLOOKUP($B426,Seqs!$A:$B,2,0),AI426,1),"")</f>
        <v>T</v>
      </c>
      <c r="AI426" s="9">
        <v>298</v>
      </c>
      <c r="AJ426" s="9" t="str">
        <f>IFERROR(MID(VLOOKUP($B426,Seqs!$A:$B,2,0),AK426,1),"")</f>
        <v>W</v>
      </c>
      <c r="AK426" s="9">
        <v>306</v>
      </c>
      <c r="AL426" s="9" t="str">
        <f>IFERROR(MID(VLOOKUP($B426,Seqs!$A:$B,2,0),AM426,1),"")</f>
        <v>N</v>
      </c>
      <c r="AM426" s="9">
        <v>338</v>
      </c>
      <c r="AN426" s="9" t="str">
        <f>IFERROR(MID(VLOOKUP($B426,Seqs!$A:$B,2,0),AO426,1),"")</f>
        <v>D</v>
      </c>
      <c r="AO426" s="9">
        <v>344</v>
      </c>
      <c r="AP426" s="9" t="str">
        <f>IFERROR(MID(VLOOKUP($B426,Seqs!$A:$B,2,0),AQ426,1),"")</f>
        <v>F</v>
      </c>
      <c r="AQ426" s="9">
        <v>367</v>
      </c>
      <c r="AR426" s="9" t="str">
        <f>IFERROR(MID(VLOOKUP($B426,Seqs!$A:$B,2,0),AS426,1),"")</f>
        <v>R</v>
      </c>
      <c r="AS426" s="9">
        <v>376</v>
      </c>
      <c r="AT426" s="9" t="str">
        <f>IFERROR(MID(VLOOKUP($B426,Seqs!$A:$B,2,0),AU426,1),"")</f>
        <v>C</v>
      </c>
      <c r="AU426" s="9">
        <v>403</v>
      </c>
      <c r="AV426" s="9" t="str">
        <f>IFERROR(MID(VLOOKUP($B426,Seqs!$A:$B,2,0),AW426,1),"")</f>
        <v>N</v>
      </c>
      <c r="AW426" s="9">
        <v>406</v>
      </c>
      <c r="AX426" s="9" t="str">
        <f>IFERROR(MID(VLOOKUP($B426,Seqs!$A:$B,2,0),AY426,1),"")</f>
        <v>R</v>
      </c>
      <c r="AY426" s="9">
        <v>421</v>
      </c>
      <c r="AZ426" s="110" t="str">
        <f>VLOOKUP(B426,Classification!A:D,2,0)</f>
        <v>B1</v>
      </c>
      <c r="BA426" s="98" t="str">
        <f>VLOOKUP(B426,Classification!A:D,4,0)</f>
        <v>Glucagonreceptorfamily</v>
      </c>
      <c r="BB426" s="36" t="b">
        <f t="shared" ref="BB426" si="3774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109">
        <f t="shared" ref="BC426" si="3775">_xlfn.AGGREGATE(9,6,CH426:CS426)-_xlfn.AGGREGATE(9,6,BV426:CG426)+12</f>
        <v>242</v>
      </c>
      <c r="BD426" s="11" t="s">
        <v>23</v>
      </c>
      <c r="BE426" s="9" t="s">
        <v>1368</v>
      </c>
      <c r="BF426" s="119">
        <v>3.2</v>
      </c>
      <c r="BG426" s="51" t="s">
        <v>1</v>
      </c>
      <c r="BH426" s="51" t="s">
        <v>1</v>
      </c>
      <c r="BJ426" s="111" t="s">
        <v>1281</v>
      </c>
      <c r="BK426" s="112" t="s">
        <v>1281</v>
      </c>
      <c r="BL426" s="112" t="s">
        <v>1281</v>
      </c>
      <c r="BM426" s="112" t="s">
        <v>1281</v>
      </c>
      <c r="BN426" s="112" t="s">
        <v>1281</v>
      </c>
      <c r="BO426" s="112" t="s">
        <v>1281</v>
      </c>
      <c r="BP426" s="112" t="s">
        <v>1281</v>
      </c>
      <c r="BQ426" s="112" t="s">
        <v>1281</v>
      </c>
      <c r="BR426" s="112" t="s">
        <v>1281</v>
      </c>
      <c r="BS426" s="112" t="s">
        <v>1281</v>
      </c>
      <c r="BT426" s="112" t="s">
        <v>1281</v>
      </c>
      <c r="BU426" s="112" t="s">
        <v>1281</v>
      </c>
      <c r="BV426" s="111">
        <f t="shared" ref="BV426" si="3776">E426</f>
        <v>135</v>
      </c>
      <c r="BW426" s="113">
        <f t="shared" ref="BW426" si="3777">I426</f>
        <v>170</v>
      </c>
      <c r="BX426" s="114">
        <f t="shared" ref="BX426" si="3778">M426</f>
        <v>174</v>
      </c>
      <c r="BY426" s="113" t="str">
        <f t="shared" ref="BY426" si="3779">Q426</f>
        <v>-</v>
      </c>
      <c r="BZ426" s="114">
        <f t="shared" ref="BZ426" si="3780">U426</f>
        <v>224</v>
      </c>
      <c r="CA426" s="113" t="str">
        <f t="shared" ref="CA426" si="3781">Y426</f>
        <v>-</v>
      </c>
      <c r="CB426" s="114">
        <f t="shared" ref="CB426" si="3782">AC426</f>
        <v>263</v>
      </c>
      <c r="CC426" s="113">
        <f t="shared" ref="CC426" si="3783">AG426</f>
        <v>296</v>
      </c>
      <c r="CD426" s="114">
        <f t="shared" ref="CD426" si="3784">AK426</f>
        <v>306</v>
      </c>
      <c r="CE426" s="113">
        <f t="shared" ref="CE426" si="3785">AO426</f>
        <v>344</v>
      </c>
      <c r="CF426" s="114">
        <f t="shared" ref="CF426" si="3786">AS426</f>
        <v>376</v>
      </c>
      <c r="CG426" s="113">
        <f t="shared" ref="CG426" si="3787">AW426</f>
        <v>406</v>
      </c>
      <c r="CH426" s="111">
        <f t="shared" ref="CH426" si="3788">G426</f>
        <v>169</v>
      </c>
      <c r="CI426" s="113">
        <f t="shared" ref="CI426" si="3789">K426</f>
        <v>173</v>
      </c>
      <c r="CJ426" s="114">
        <f t="shared" ref="CJ426" si="3790">O426</f>
        <v>207</v>
      </c>
      <c r="CK426" s="114" t="str">
        <f t="shared" ref="CK426" si="3791">S426</f>
        <v>-</v>
      </c>
      <c r="CL426" s="114">
        <f t="shared" ref="CL426" si="3792">W426</f>
        <v>257</v>
      </c>
      <c r="CM426" s="114" t="str">
        <f t="shared" ref="CM426" si="3793">AA426</f>
        <v>-</v>
      </c>
      <c r="CN426" s="114">
        <f t="shared" ref="CN426" si="3794">AE426</f>
        <v>291</v>
      </c>
      <c r="CO426" s="114">
        <f t="shared" ref="CO426" si="3795">AI426</f>
        <v>298</v>
      </c>
      <c r="CP426" s="114">
        <f t="shared" ref="CP426" si="3796">AM426</f>
        <v>338</v>
      </c>
      <c r="CQ426" s="114">
        <f t="shared" ref="CQ426" si="3797">AQ426</f>
        <v>367</v>
      </c>
      <c r="CR426" s="114">
        <f t="shared" ref="CR426" si="3798">AU426</f>
        <v>403</v>
      </c>
      <c r="CS426" s="114">
        <f t="shared" ref="CS426" si="3799">AY426</f>
        <v>421</v>
      </c>
      <c r="CT426" s="109">
        <f t="shared" ref="CT426" si="3800">M426-K426</f>
        <v>1</v>
      </c>
    </row>
    <row r="427" spans="1:1029" x14ac:dyDescent="0.2">
      <c r="A427" s="3" t="str">
        <f t="shared" si="3605"/>
        <v>g1sgd4_rabit__wt</v>
      </c>
      <c r="B427" s="3" t="s">
        <v>1414</v>
      </c>
      <c r="C427" s="3" t="s">
        <v>100</v>
      </c>
      <c r="D427" s="3" t="str">
        <f>IFERROR(MID(VLOOKUP($B427,Seqs!$A:$B,2,0),E427,1),"")</f>
        <v>P</v>
      </c>
      <c r="E427" s="3">
        <v>137</v>
      </c>
      <c r="F427" s="3" t="str">
        <f>IFERROR(MID(VLOOKUP($B427,Seqs!$A:$B,2,0),G427,1),"")</f>
        <v>F</v>
      </c>
      <c r="G427" s="3">
        <v>169</v>
      </c>
      <c r="H427" s="3" t="str">
        <f>IFERROR(MID(VLOOKUP($B427,Seqs!$A:$B,2,0),I427,1),"")</f>
        <v>R</v>
      </c>
      <c r="I427" s="23">
        <v>170</v>
      </c>
      <c r="J427" s="3" t="str">
        <f>IFERROR(MID(VLOOKUP($B427,Seqs!$A:$B,2,0),K427,1),"")</f>
        <v>H</v>
      </c>
      <c r="K427" s="23">
        <v>173</v>
      </c>
      <c r="L427" s="3" t="str">
        <f>IFERROR(MID(VLOOKUP($B427,Seqs!$A:$B,2,0),M427,1),"")</f>
        <v>C</v>
      </c>
      <c r="M427" s="23">
        <v>174</v>
      </c>
      <c r="N427" s="3" t="str">
        <f>IFERROR(MID(VLOOKUP($B427,Seqs!$A:$B,2,0),O427,1),"")</f>
        <v>Q</v>
      </c>
      <c r="O427" s="3">
        <v>211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224</v>
      </c>
      <c r="V427" s="3" t="str">
        <f>IFERROR(MID(VLOOKUP($B427,Seqs!$A:$B,2,0),W427,1),"")</f>
        <v>F</v>
      </c>
      <c r="W427" s="3">
        <v>257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S</v>
      </c>
      <c r="AC427" s="3">
        <v>261</v>
      </c>
      <c r="AD427" s="3" t="str">
        <f>IFERROR(MID(VLOOKUP($B427,Seqs!$A:$B,2,0),AE427,1),"")</f>
        <v>E</v>
      </c>
      <c r="AE427" s="3">
        <v>292</v>
      </c>
      <c r="AF427" s="3" t="str">
        <f>IFERROR(MID(VLOOKUP($B427,Seqs!$A:$B,2,0),AG427,1),"")</f>
        <v>C</v>
      </c>
      <c r="AG427" s="3">
        <v>296</v>
      </c>
      <c r="AH427" s="3" t="str">
        <f>IFERROR(MID(VLOOKUP($B427,Seqs!$A:$B,2,0),AI427,1),"")</f>
        <v>T</v>
      </c>
      <c r="AI427" s="3">
        <v>298</v>
      </c>
      <c r="AJ427" s="3" t="str">
        <f>IFERROR(MID(VLOOKUP($B427,Seqs!$A:$B,2,0),AK427,1),"")</f>
        <v>N</v>
      </c>
      <c r="AK427" s="105">
        <v>302</v>
      </c>
      <c r="AL427" s="3" t="str">
        <f>IFERROR(MID(VLOOKUP($B427,Seqs!$A:$B,2,0),AM427,1),"")</f>
        <v>A</v>
      </c>
      <c r="AM427" s="3">
        <v>337</v>
      </c>
      <c r="AN427" s="3" t="str">
        <f>IFERROR(MID(VLOOKUP($B427,Seqs!$A:$B,2,0),AO427,1),"")</f>
        <v>K</v>
      </c>
      <c r="AO427" s="3">
        <v>346</v>
      </c>
      <c r="AP427" s="3" t="str">
        <f>IFERROR(MID(VLOOKUP($B427,Seqs!$A:$B,2,0),AQ427,1),"")</f>
        <v>F</v>
      </c>
      <c r="AQ427" s="3">
        <v>369</v>
      </c>
      <c r="AR427" s="3" t="str">
        <f>IFERROR(MID(VLOOKUP($B427,Seqs!$A:$B,2,0),AS427,1),"")</f>
        <v>L</v>
      </c>
      <c r="AS427" s="3">
        <v>379</v>
      </c>
      <c r="AT427" s="3" t="str">
        <f>IFERROR(MID(VLOOKUP($B427,Seqs!$A:$B,2,0),AU427,1),"")</f>
        <v>V</v>
      </c>
      <c r="AU427" s="3">
        <v>405</v>
      </c>
      <c r="AV427" s="3" t="str">
        <f>IFERROR(MID(VLOOKUP($B427,Seqs!$A:$B,2,0),AW427,1),"")</f>
        <v>N</v>
      </c>
      <c r="AW427" s="3">
        <v>406</v>
      </c>
      <c r="AX427" s="3" t="str">
        <f>IFERROR(MID(VLOOKUP($B427,Seqs!$A:$B,2,0),AY427,1),"")</f>
        <v>S</v>
      </c>
      <c r="AY427" s="3">
        <v>431</v>
      </c>
      <c r="AZ427" s="77" t="str">
        <f>VLOOKUP(B427,Classification!A:D,2,0)</f>
        <v>B1</v>
      </c>
      <c r="BA427" s="94" t="str">
        <f>VLOOKUP(B427,Classification!A:D,4,0)</f>
        <v>Glucagonreceptorfamily</v>
      </c>
      <c r="BB427" s="27" t="b">
        <f t="shared" si="3606"/>
        <v>1</v>
      </c>
      <c r="BC427" s="23">
        <f t="shared" si="3607"/>
        <v>259</v>
      </c>
      <c r="BD427" s="4" t="s">
        <v>23</v>
      </c>
      <c r="BE427" s="3" t="s">
        <v>23</v>
      </c>
      <c r="BF427" s="118" t="s">
        <v>23</v>
      </c>
      <c r="BI427" s="1"/>
      <c r="BJ427" s="70" t="s">
        <v>1281</v>
      </c>
      <c r="BK427" s="57" t="s">
        <v>1281</v>
      </c>
      <c r="BL427" s="57" t="s">
        <v>1281</v>
      </c>
      <c r="BM427" s="57" t="s">
        <v>1281</v>
      </c>
      <c r="BN427" s="57" t="s">
        <v>1281</v>
      </c>
      <c r="BO427" s="57" t="s">
        <v>1281</v>
      </c>
      <c r="BP427" s="57" t="s">
        <v>1281</v>
      </c>
      <c r="BQ427" s="57" t="s">
        <v>1281</v>
      </c>
      <c r="BR427" s="57" t="s">
        <v>1281</v>
      </c>
      <c r="BS427" s="57" t="s">
        <v>1281</v>
      </c>
      <c r="BT427" s="57" t="s">
        <v>1281</v>
      </c>
      <c r="BU427" s="57" t="s">
        <v>1281</v>
      </c>
      <c r="BV427" s="70">
        <f t="shared" si="3608"/>
        <v>137</v>
      </c>
      <c r="BW427" s="71">
        <f t="shared" si="3609"/>
        <v>170</v>
      </c>
      <c r="BX427" s="72">
        <f t="shared" si="3610"/>
        <v>174</v>
      </c>
      <c r="BY427" s="71" t="str">
        <f t="shared" si="3611"/>
        <v>-</v>
      </c>
      <c r="BZ427" s="72">
        <f t="shared" si="3612"/>
        <v>224</v>
      </c>
      <c r="CA427" s="71" t="str">
        <f t="shared" si="3613"/>
        <v>-</v>
      </c>
      <c r="CB427" s="72">
        <f t="shared" si="3614"/>
        <v>261</v>
      </c>
      <c r="CC427" s="71">
        <f t="shared" si="3615"/>
        <v>296</v>
      </c>
      <c r="CD427" s="72">
        <f t="shared" si="3616"/>
        <v>302</v>
      </c>
      <c r="CE427" s="71">
        <f t="shared" si="3617"/>
        <v>346</v>
      </c>
      <c r="CF427" s="72">
        <f t="shared" si="3618"/>
        <v>379</v>
      </c>
      <c r="CG427" s="71">
        <f t="shared" si="3619"/>
        <v>406</v>
      </c>
      <c r="CH427" s="70">
        <f t="shared" si="3620"/>
        <v>169</v>
      </c>
      <c r="CI427" s="71">
        <f t="shared" si="3621"/>
        <v>173</v>
      </c>
      <c r="CJ427" s="72">
        <f t="shared" si="3622"/>
        <v>211</v>
      </c>
      <c r="CK427" s="72" t="str">
        <f t="shared" si="3623"/>
        <v>-</v>
      </c>
      <c r="CL427" s="72">
        <f t="shared" si="3624"/>
        <v>257</v>
      </c>
      <c r="CM427" s="72" t="str">
        <f t="shared" si="3625"/>
        <v>-</v>
      </c>
      <c r="CN427" s="72">
        <f t="shared" si="3626"/>
        <v>292</v>
      </c>
      <c r="CO427" s="72">
        <f t="shared" si="3627"/>
        <v>298</v>
      </c>
      <c r="CP427" s="72">
        <f t="shared" si="3628"/>
        <v>337</v>
      </c>
      <c r="CQ427" s="72">
        <f t="shared" si="3629"/>
        <v>369</v>
      </c>
      <c r="CR427" s="72">
        <f t="shared" si="3630"/>
        <v>405</v>
      </c>
      <c r="CS427" s="72">
        <f t="shared" si="3631"/>
        <v>431</v>
      </c>
      <c r="CT427" s="23">
        <f t="shared" si="3632"/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29" x14ac:dyDescent="0.2">
      <c r="A428" s="3" t="str">
        <f t="shared" si="3605"/>
        <v>g1sgd4_rabit_5VAI</v>
      </c>
      <c r="B428" s="3" t="s">
        <v>1414</v>
      </c>
      <c r="C428" s="3" t="s">
        <v>1415</v>
      </c>
      <c r="D428" s="3" t="str">
        <f>IFERROR(MID(VLOOKUP($B428,Seqs!$A:$B,2,0),E428,1),"")</f>
        <v>P</v>
      </c>
      <c r="E428" s="3">
        <v>137</v>
      </c>
      <c r="F428" s="3" t="str">
        <f>IFERROR(MID(VLOOKUP($B428,Seqs!$A:$B,2,0),G428,1),"")</f>
        <v>G</v>
      </c>
      <c r="G428" s="3">
        <v>168</v>
      </c>
      <c r="H428" s="3" t="str">
        <f>IFERROR(MID(VLOOKUP($B428,Seqs!$A:$B,2,0),I428,1),"")</f>
        <v>R</v>
      </c>
      <c r="I428" s="23">
        <v>170</v>
      </c>
      <c r="J428" s="3" t="str">
        <f>IFERROR(MID(VLOOKUP($B428,Seqs!$A:$B,2,0),K428,1),"")</f>
        <v>H</v>
      </c>
      <c r="K428" s="23">
        <v>173</v>
      </c>
      <c r="L428" s="3" t="str">
        <f>IFERROR(MID(VLOOKUP($B428,Seqs!$A:$B,2,0),M428,1),"")</f>
        <v>C</v>
      </c>
      <c r="M428" s="23">
        <v>174</v>
      </c>
      <c r="N428" s="3" t="str">
        <f>IFERROR(MID(VLOOKUP($B428,Seqs!$A:$B,2,0),O428,1),"")</f>
        <v>Q</v>
      </c>
      <c r="O428" s="3">
        <v>211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L</v>
      </c>
      <c r="U428" s="3">
        <v>224</v>
      </c>
      <c r="V428" s="3" t="str">
        <f>IFERROR(MID(VLOOKUP($B428,Seqs!$A:$B,2,0),W428,1),"")</f>
        <v>F</v>
      </c>
      <c r="W428" s="3">
        <v>257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S</v>
      </c>
      <c r="AC428" s="3">
        <v>261</v>
      </c>
      <c r="AD428" s="3" t="str">
        <f>IFERROR(MID(VLOOKUP($B428,Seqs!$A:$B,2,0),AE428,1),"")</f>
        <v>E</v>
      </c>
      <c r="AE428" s="3">
        <v>292</v>
      </c>
      <c r="AF428" s="3" t="str">
        <f>IFERROR(MID(VLOOKUP($B428,Seqs!$A:$B,2,0),AG428,1),"")</f>
        <v>C</v>
      </c>
      <c r="AG428" s="3">
        <v>296</v>
      </c>
      <c r="AH428" s="3" t="str">
        <f>IFERROR(MID(VLOOKUP($B428,Seqs!$A:$B,2,0),AI428,1),"")</f>
        <v>T</v>
      </c>
      <c r="AI428" s="3">
        <v>298</v>
      </c>
      <c r="AJ428" s="3" t="str">
        <f>IFERROR(MID(VLOOKUP($B428,Seqs!$A:$B,2,0),AK428,1),"")</f>
        <v>Y</v>
      </c>
      <c r="AK428" s="3">
        <v>305</v>
      </c>
      <c r="AL428" s="3" t="str">
        <f>IFERROR(MID(VLOOKUP($B428,Seqs!$A:$B,2,0),AM428,1),"")</f>
        <v>A</v>
      </c>
      <c r="AM428" s="3">
        <v>337</v>
      </c>
      <c r="AN428" s="3" t="str">
        <f>IFERROR(MID(VLOOKUP($B428,Seqs!$A:$B,2,0),AO428,1),"")</f>
        <v>K</v>
      </c>
      <c r="AO428" s="3">
        <v>346</v>
      </c>
      <c r="AP428" s="3" t="str">
        <f>IFERROR(MID(VLOOKUP($B428,Seqs!$A:$B,2,0),AQ428,1),"")</f>
        <v>F</v>
      </c>
      <c r="AQ428" s="3">
        <v>369</v>
      </c>
      <c r="AR428" s="3" t="str">
        <f>IFERROR(MID(VLOOKUP($B428,Seqs!$A:$B,2,0),AS428,1),"")</f>
        <v>L</v>
      </c>
      <c r="AS428" s="3">
        <v>379</v>
      </c>
      <c r="AT428" s="3" t="str">
        <f>IFERROR(MID(VLOOKUP($B428,Seqs!$A:$B,2,0),AU428,1),"")</f>
        <v>V</v>
      </c>
      <c r="AU428" s="3">
        <v>405</v>
      </c>
      <c r="AV428" s="3" t="str">
        <f>IFERROR(MID(VLOOKUP($B428,Seqs!$A:$B,2,0),AW428,1),"")</f>
        <v>N</v>
      </c>
      <c r="AW428" s="3">
        <v>406</v>
      </c>
      <c r="AX428" s="3" t="str">
        <f>IFERROR(MID(VLOOKUP($B428,Seqs!$A:$B,2,0),AY428,1),"")</f>
        <v>R</v>
      </c>
      <c r="AY428" s="3">
        <v>421</v>
      </c>
      <c r="AZ428" s="77" t="str">
        <f>VLOOKUP(B428,Classification!A:D,2,0)</f>
        <v>B1</v>
      </c>
      <c r="BA428" s="94" t="str">
        <f>VLOOKUP(B428,Classification!A:D,4,0)</f>
        <v>Glucagonreceptorfamily</v>
      </c>
      <c r="BB428" s="27" t="b">
        <f t="shared" si="3606"/>
        <v>1</v>
      </c>
      <c r="BC428" s="23">
        <f t="shared" si="3607"/>
        <v>245</v>
      </c>
      <c r="BD428" s="4" t="s">
        <v>23</v>
      </c>
      <c r="BE428" s="3" t="s">
        <v>1285</v>
      </c>
      <c r="BF428" s="118">
        <v>4.0999999999999996</v>
      </c>
      <c r="BG428" s="49" t="s">
        <v>1416</v>
      </c>
      <c r="BH428" s="49" t="s">
        <v>1416</v>
      </c>
      <c r="BI428" s="1"/>
      <c r="BJ428" s="70" t="s">
        <v>1281</v>
      </c>
      <c r="BK428" s="57" t="s">
        <v>1281</v>
      </c>
      <c r="BL428" s="57" t="s">
        <v>1281</v>
      </c>
      <c r="BM428" s="57" t="s">
        <v>1281</v>
      </c>
      <c r="BN428" s="57" t="s">
        <v>1281</v>
      </c>
      <c r="BO428" s="57" t="s">
        <v>1281</v>
      </c>
      <c r="BP428" s="57" t="s">
        <v>1281</v>
      </c>
      <c r="BQ428" s="57" t="s">
        <v>1281</v>
      </c>
      <c r="BR428" s="57" t="s">
        <v>1281</v>
      </c>
      <c r="BS428" s="57" t="s">
        <v>1281</v>
      </c>
      <c r="BT428" s="57" t="s">
        <v>1281</v>
      </c>
      <c r="BU428" s="57" t="s">
        <v>1281</v>
      </c>
      <c r="BV428" s="70">
        <f t="shared" si="3608"/>
        <v>137</v>
      </c>
      <c r="BW428" s="71">
        <f t="shared" si="3609"/>
        <v>170</v>
      </c>
      <c r="BX428" s="72">
        <f t="shared" si="3610"/>
        <v>174</v>
      </c>
      <c r="BY428" s="71" t="str">
        <f t="shared" si="3611"/>
        <v>-</v>
      </c>
      <c r="BZ428" s="72">
        <f t="shared" si="3612"/>
        <v>224</v>
      </c>
      <c r="CA428" s="71" t="str">
        <f t="shared" si="3613"/>
        <v>-</v>
      </c>
      <c r="CB428" s="72">
        <f t="shared" si="3614"/>
        <v>261</v>
      </c>
      <c r="CC428" s="71">
        <f t="shared" si="3615"/>
        <v>296</v>
      </c>
      <c r="CD428" s="72">
        <f t="shared" si="3616"/>
        <v>305</v>
      </c>
      <c r="CE428" s="71">
        <f t="shared" si="3617"/>
        <v>346</v>
      </c>
      <c r="CF428" s="72">
        <f t="shared" si="3618"/>
        <v>379</v>
      </c>
      <c r="CG428" s="71">
        <f t="shared" si="3619"/>
        <v>406</v>
      </c>
      <c r="CH428" s="70">
        <f t="shared" si="3620"/>
        <v>168</v>
      </c>
      <c r="CI428" s="71">
        <f t="shared" si="3621"/>
        <v>173</v>
      </c>
      <c r="CJ428" s="72">
        <f t="shared" si="3622"/>
        <v>211</v>
      </c>
      <c r="CK428" s="72" t="str">
        <f t="shared" si="3623"/>
        <v>-</v>
      </c>
      <c r="CL428" s="72">
        <f t="shared" si="3624"/>
        <v>257</v>
      </c>
      <c r="CM428" s="72" t="str">
        <f t="shared" si="3625"/>
        <v>-</v>
      </c>
      <c r="CN428" s="72">
        <f t="shared" si="3626"/>
        <v>292</v>
      </c>
      <c r="CO428" s="72">
        <f t="shared" si="3627"/>
        <v>298</v>
      </c>
      <c r="CP428" s="72">
        <f t="shared" si="3628"/>
        <v>337</v>
      </c>
      <c r="CQ428" s="72">
        <f t="shared" si="3629"/>
        <v>369</v>
      </c>
      <c r="CR428" s="72">
        <f t="shared" si="3630"/>
        <v>405</v>
      </c>
      <c r="CS428" s="72">
        <f t="shared" si="3631"/>
        <v>421</v>
      </c>
      <c r="CT428" s="23">
        <f t="shared" si="3632"/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29" s="12" customFormat="1" x14ac:dyDescent="0.2">
      <c r="A429" s="9" t="str">
        <f t="shared" ref="A429:A430" si="3801">CONCATENATE(B429,"_",C429)</f>
        <v>pacr_human__wt</v>
      </c>
      <c r="B429" s="9" t="s">
        <v>407</v>
      </c>
      <c r="C429" s="9" t="s">
        <v>100</v>
      </c>
      <c r="D429" s="9" t="str">
        <f>IFERROR(MID(VLOOKUP($B429,Seqs!$A:$B,2,0),E429,1),"")</f>
        <v>Y</v>
      </c>
      <c r="E429" s="9">
        <v>139</v>
      </c>
      <c r="F429" s="9" t="str">
        <f>IFERROR(MID(VLOOKUP($B429,Seqs!$A:$B,2,0),G429,1),"")</f>
        <v>F</v>
      </c>
      <c r="G429" s="9">
        <v>178</v>
      </c>
      <c r="H429" s="9" t="str">
        <f>IFERROR(MID(VLOOKUP($B429,Seqs!$A:$B,2,0),I429,1),"")</f>
        <v>R</v>
      </c>
      <c r="I429" s="109">
        <v>179</v>
      </c>
      <c r="J429" s="9" t="str">
        <f>IFERROR(MID(VLOOKUP($B429,Seqs!$A:$B,2,0),K429,1),"")</f>
        <v>H</v>
      </c>
      <c r="K429" s="109">
        <v>182</v>
      </c>
      <c r="L429" s="9" t="str">
        <f>IFERROR(MID(VLOOKUP($B429,Seqs!$A:$B,2,0),M429,1),"")</f>
        <v>C</v>
      </c>
      <c r="M429" s="109">
        <v>183</v>
      </c>
      <c r="N429" s="9" t="str">
        <f>IFERROR(MID(VLOOKUP($B429,Seqs!$A:$B,2,0),O429,1),"")</f>
        <v>L</v>
      </c>
      <c r="O429" s="9">
        <v>210</v>
      </c>
      <c r="P429" s="9" t="str">
        <f>IFERROR(MID(VLOOKUP($B429,Seqs!$A:$B,2,0),Q429,1),"")</f>
        <v/>
      </c>
      <c r="Q429" s="9" t="s">
        <v>23</v>
      </c>
      <c r="R429" s="9" t="str">
        <f>IFERROR(MID(VLOOKUP($B429,Seqs!$A:$B,2,0),S429,1),"")</f>
        <v/>
      </c>
      <c r="S429" s="9" t="s">
        <v>23</v>
      </c>
      <c r="T429" s="9" t="str">
        <f>IFERROR(MID(VLOOKUP($B429,Seqs!$A:$B,2,0),U429,1),"")</f>
        <v>T</v>
      </c>
      <c r="U429" s="9">
        <v>223</v>
      </c>
      <c r="V429" s="9" t="str">
        <f>IFERROR(MID(VLOOKUP($B429,Seqs!$A:$B,2,0),W429,1),"")</f>
        <v>E</v>
      </c>
      <c r="W429" s="9">
        <v>257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R</v>
      </c>
      <c r="AC429" s="9">
        <v>264</v>
      </c>
      <c r="AD429" s="9" t="str">
        <f>IFERROR(MID(VLOOKUP($B429,Seqs!$A:$B,2,0),AE429,1),"")</f>
        <v>D</v>
      </c>
      <c r="AE429" s="9">
        <v>292</v>
      </c>
      <c r="AF429" s="9" t="str">
        <f>IFERROR(MID(VLOOKUP($B429,Seqs!$A:$B,2,0),AG429,1),"")</f>
        <v>C</v>
      </c>
      <c r="AG429" s="9">
        <v>296</v>
      </c>
      <c r="AH429" s="9" t="str">
        <f>IFERROR(MID(VLOOKUP($B429,Seqs!$A:$B,2,0),AI429,1),"")</f>
        <v>D</v>
      </c>
      <c r="AI429" s="9">
        <v>298</v>
      </c>
      <c r="AJ429" s="9" t="str">
        <f>IFERROR(MID(VLOOKUP($B429,Seqs!$A:$B,2,0),AK429,1),"")</f>
        <v>S</v>
      </c>
      <c r="AK429" s="9">
        <v>302</v>
      </c>
      <c r="AL429" s="9" t="str">
        <f>IFERROR(MID(VLOOKUP($B429,Seqs!$A:$B,2,0),AM429,1),"")</f>
        <v>L</v>
      </c>
      <c r="AM429" s="9">
        <v>335</v>
      </c>
      <c r="AN429" s="9" t="str">
        <f>IFERROR(MID(VLOOKUP($B429,Seqs!$A:$B,2,0),AO429,1),"")</f>
        <v>N</v>
      </c>
      <c r="AO429" s="9">
        <v>343</v>
      </c>
      <c r="AP429" s="9" t="str">
        <f>IFERROR(MID(VLOOKUP($B429,Seqs!$A:$B,2,0),AQ429,1),"")</f>
        <v>S</v>
      </c>
      <c r="AQ429" s="9">
        <v>372</v>
      </c>
      <c r="AR429" s="9" t="str">
        <f>IFERROR(MID(VLOOKUP($B429,Seqs!$A:$B,2,0),AS429,1),"")</f>
        <v>K</v>
      </c>
      <c r="AS429" s="9">
        <v>378</v>
      </c>
      <c r="AT429" s="9" t="str">
        <f>IFERROR(MID(VLOOKUP($B429,Seqs!$A:$B,2,0),AU429,1),"")</f>
        <v>L</v>
      </c>
      <c r="AU429" s="9">
        <v>403</v>
      </c>
      <c r="AV429" s="9" t="str">
        <f>IFERROR(MID(VLOOKUP($B429,Seqs!$A:$B,2,0),AW429,1),"")</f>
        <v>N</v>
      </c>
      <c r="AW429" s="9">
        <v>404</v>
      </c>
      <c r="AX429" s="9" t="str">
        <f>IFERROR(MID(VLOOKUP($B429,Seqs!$A:$B,2,0),AY429,1),"")</f>
        <v>K</v>
      </c>
      <c r="AY429" s="9">
        <v>429</v>
      </c>
      <c r="AZ429" s="110" t="str">
        <f>VLOOKUP(B429,Classification!A:D,2,0)</f>
        <v>B1</v>
      </c>
      <c r="BA429" s="98" t="str">
        <f>VLOOKUP(B429,Classification!A:D,4,0)</f>
        <v>VIPandPACAP</v>
      </c>
      <c r="BB429" s="36" t="b">
        <f t="shared" ref="BB429:BB430" si="3802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:BC430" si="3803">_xlfn.AGGREGATE(9,6,CH429:CS429)-_xlfn.AGGREGATE(9,6,BV429:CG429)+12</f>
        <v>257</v>
      </c>
      <c r="BD429" s="11" t="s">
        <v>23</v>
      </c>
      <c r="BE429" s="9" t="s">
        <v>23</v>
      </c>
      <c r="BF429" s="119" t="s">
        <v>23</v>
      </c>
      <c r="BG429" s="51" t="s">
        <v>23</v>
      </c>
      <c r="BH429" s="51" t="s">
        <v>23</v>
      </c>
      <c r="BJ429" s="111" t="s">
        <v>1281</v>
      </c>
      <c r="BK429" s="112" t="s">
        <v>1281</v>
      </c>
      <c r="BL429" s="112" t="s">
        <v>1281</v>
      </c>
      <c r="BM429" s="112" t="s">
        <v>1281</v>
      </c>
      <c r="BN429" s="112" t="s">
        <v>1281</v>
      </c>
      <c r="BO429" s="112" t="s">
        <v>1281</v>
      </c>
      <c r="BP429" s="112" t="s">
        <v>1281</v>
      </c>
      <c r="BQ429" s="112" t="s">
        <v>1281</v>
      </c>
      <c r="BR429" s="112" t="s">
        <v>1281</v>
      </c>
      <c r="BS429" s="112" t="s">
        <v>1281</v>
      </c>
      <c r="BT429" s="112" t="s">
        <v>1281</v>
      </c>
      <c r="BU429" s="112" t="s">
        <v>1281</v>
      </c>
      <c r="BV429" s="111">
        <f t="shared" ref="BV429:BV430" si="3804">E429</f>
        <v>139</v>
      </c>
      <c r="BW429" s="113">
        <f t="shared" ref="BW429:BW430" si="3805">I429</f>
        <v>179</v>
      </c>
      <c r="BX429" s="114">
        <f t="shared" ref="BX429:BX430" si="3806">M429</f>
        <v>183</v>
      </c>
      <c r="BY429" s="113" t="str">
        <f t="shared" ref="BY429:BY430" si="3807">Q429</f>
        <v>-</v>
      </c>
      <c r="BZ429" s="114">
        <f t="shared" ref="BZ429:BZ430" si="3808">U429</f>
        <v>223</v>
      </c>
      <c r="CA429" s="113" t="str">
        <f t="shared" ref="CA429:CA430" si="3809">Y429</f>
        <v>-</v>
      </c>
      <c r="CB429" s="114">
        <f t="shared" ref="CB429:CB430" si="3810">AC429</f>
        <v>264</v>
      </c>
      <c r="CC429" s="113">
        <f t="shared" ref="CC429:CC430" si="3811">AG429</f>
        <v>296</v>
      </c>
      <c r="CD429" s="114">
        <f t="shared" ref="CD429:CD430" si="3812">AK429</f>
        <v>302</v>
      </c>
      <c r="CE429" s="113">
        <f t="shared" ref="CE429:CE430" si="3813">AO429</f>
        <v>343</v>
      </c>
      <c r="CF429" s="114">
        <f t="shared" ref="CF429:CF430" si="3814">AS429</f>
        <v>378</v>
      </c>
      <c r="CG429" s="113">
        <f t="shared" ref="CG429:CG430" si="3815">AW429</f>
        <v>404</v>
      </c>
      <c r="CH429" s="111">
        <f t="shared" ref="CH429:CH430" si="3816">G429</f>
        <v>178</v>
      </c>
      <c r="CI429" s="113">
        <f t="shared" ref="CI429:CI430" si="3817">K429</f>
        <v>182</v>
      </c>
      <c r="CJ429" s="114">
        <f t="shared" ref="CJ429:CJ430" si="3818">O429</f>
        <v>210</v>
      </c>
      <c r="CK429" s="114" t="str">
        <f t="shared" ref="CK429:CK430" si="3819">S429</f>
        <v>-</v>
      </c>
      <c r="CL429" s="114">
        <f t="shared" ref="CL429:CL430" si="3820">W429</f>
        <v>257</v>
      </c>
      <c r="CM429" s="114" t="str">
        <f t="shared" ref="CM429:CM430" si="3821">AA429</f>
        <v>-</v>
      </c>
      <c r="CN429" s="114">
        <f t="shared" ref="CN429:CN430" si="3822">AE429</f>
        <v>292</v>
      </c>
      <c r="CO429" s="114">
        <f t="shared" ref="CO429:CO430" si="3823">AI429</f>
        <v>298</v>
      </c>
      <c r="CP429" s="114">
        <f t="shared" ref="CP429:CP430" si="3824">AM429</f>
        <v>335</v>
      </c>
      <c r="CQ429" s="114">
        <f t="shared" ref="CQ429:CQ430" si="3825">AQ429</f>
        <v>372</v>
      </c>
      <c r="CR429" s="114">
        <f t="shared" ref="CR429:CR430" si="3826">AU429</f>
        <v>403</v>
      </c>
      <c r="CS429" s="114">
        <f t="shared" ref="CS429:CS430" si="3827">AY429</f>
        <v>429</v>
      </c>
      <c r="CT429" s="109">
        <f t="shared" ref="CT429:CT430" si="3828">M429-K429</f>
        <v>1</v>
      </c>
    </row>
    <row r="430" spans="1:1029" s="12" customFormat="1" x14ac:dyDescent="0.2">
      <c r="A430" s="9" t="str">
        <f t="shared" si="3801"/>
        <v>pacr_human_6P9Y</v>
      </c>
      <c r="B430" s="9" t="s">
        <v>407</v>
      </c>
      <c r="C430" s="9" t="s">
        <v>1639</v>
      </c>
      <c r="D430" s="9" t="str">
        <f>IFERROR(MID(VLOOKUP($B430,Seqs!$A:$B,2,0),E430,1),"")</f>
        <v>Y</v>
      </c>
      <c r="E430" s="9">
        <v>149</v>
      </c>
      <c r="F430" s="9" t="str">
        <f>IFERROR(MID(VLOOKUP($B430,Seqs!$A:$B,2,0),G430,1),"")</f>
        <v>F</v>
      </c>
      <c r="G430" s="9">
        <v>178</v>
      </c>
      <c r="H430" s="9" t="str">
        <f>IFERROR(MID(VLOOKUP($B430,Seqs!$A:$B,2,0),I430,1),"")</f>
        <v/>
      </c>
      <c r="I430" s="109" t="s">
        <v>23</v>
      </c>
      <c r="J430" s="9" t="str">
        <f>IFERROR(MID(VLOOKUP($B430,Seqs!$A:$B,2,0),K430,1),"")</f>
        <v/>
      </c>
      <c r="K430" s="109" t="s">
        <v>23</v>
      </c>
      <c r="L430" s="9" t="str">
        <f>IFERROR(MID(VLOOKUP($B430,Seqs!$A:$B,2,0),M430,1),"")</f>
        <v>C</v>
      </c>
      <c r="M430" s="109">
        <v>183</v>
      </c>
      <c r="N430" s="9" t="str">
        <f>IFERROR(MID(VLOOKUP($B430,Seqs!$A:$B,2,0),O430,1),"")</f>
        <v>Y</v>
      </c>
      <c r="O430" s="9">
        <v>211</v>
      </c>
      <c r="P430" s="9" t="str">
        <f>IFERROR(MID(VLOOKUP($B430,Seqs!$A:$B,2,0),Q430,1),"")</f>
        <v/>
      </c>
      <c r="Q430" s="9" t="s">
        <v>23</v>
      </c>
      <c r="R430" s="9" t="str">
        <f>IFERROR(MID(VLOOKUP($B430,Seqs!$A:$B,2,0),S430,1),"")</f>
        <v/>
      </c>
      <c r="S430" s="9" t="s">
        <v>23</v>
      </c>
      <c r="T430" s="9" t="str">
        <f>IFERROR(MID(VLOOKUP($B430,Seqs!$A:$B,2,0),U430,1),"")</f>
        <v>T</v>
      </c>
      <c r="U430" s="9">
        <v>223</v>
      </c>
      <c r="V430" s="9" t="str">
        <f>IFERROR(MID(VLOOKUP($B430,Seqs!$A:$B,2,0),W430,1),"")</f>
        <v>V</v>
      </c>
      <c r="W430" s="9">
        <v>256</v>
      </c>
      <c r="X430" s="9" t="str">
        <f>IFERROR(MID(VLOOKUP($B430,Seqs!$A:$B,2,0),Y430,1),"")</f>
        <v/>
      </c>
      <c r="Y430" s="9" t="s">
        <v>23</v>
      </c>
      <c r="Z430" s="9" t="str">
        <f>IFERROR(MID(VLOOKUP($B430,Seqs!$A:$B,2,0),AA430,1),"")</f>
        <v/>
      </c>
      <c r="AA430" s="9" t="s">
        <v>23</v>
      </c>
      <c r="AB430" s="9" t="str">
        <f>IFERROR(MID(VLOOKUP($B430,Seqs!$A:$B,2,0),AC430,1),"")</f>
        <v>R</v>
      </c>
      <c r="AC430" s="9">
        <v>264</v>
      </c>
      <c r="AD430" s="9" t="str">
        <f>IFERROR(MID(VLOOKUP($B430,Seqs!$A:$B,2,0),AE430,1),"")</f>
        <v>F</v>
      </c>
      <c r="AE430" s="9">
        <v>291</v>
      </c>
      <c r="AF430" s="9" t="str">
        <f>IFERROR(MID(VLOOKUP($B430,Seqs!$A:$B,2,0),AG430,1),"")</f>
        <v>C</v>
      </c>
      <c r="AG430" s="9">
        <v>296</v>
      </c>
      <c r="AH430" s="9" t="str">
        <f>IFERROR(MID(VLOOKUP($B430,Seqs!$A:$B,2,0),AI430,1),"")</f>
        <v>D</v>
      </c>
      <c r="AI430" s="9">
        <v>298</v>
      </c>
      <c r="AJ430" s="9" t="str">
        <f>IFERROR(MID(VLOOKUP($B430,Seqs!$A:$B,2,0),AK430,1),"")</f>
        <v>S</v>
      </c>
      <c r="AK430" s="9">
        <v>302</v>
      </c>
      <c r="AL430" s="9" t="str">
        <f>IFERROR(MID(VLOOKUP($B430,Seqs!$A:$B,2,0),AM430,1),"")</f>
        <v>S</v>
      </c>
      <c r="AM430" s="9">
        <v>337</v>
      </c>
      <c r="AN430" s="9" t="str">
        <f>IFERROR(MID(VLOOKUP($B430,Seqs!$A:$B,2,0),AO430,1),"")</f>
        <v>S</v>
      </c>
      <c r="AO430" s="9">
        <v>346</v>
      </c>
      <c r="AP430" s="9" t="str">
        <f>IFERROR(MID(VLOOKUP($B430,Seqs!$A:$B,2,0),AQ430,1),"")</f>
        <v>A</v>
      </c>
      <c r="AQ430" s="9">
        <v>370</v>
      </c>
      <c r="AR430" s="9" t="str">
        <f>IFERROR(MID(VLOOKUP($B430,Seqs!$A:$B,2,0),AS430,1),"")</f>
        <v>K</v>
      </c>
      <c r="AS430" s="9">
        <v>378</v>
      </c>
      <c r="AT430" s="9" t="str">
        <f>IFERROR(MID(VLOOKUP($B430,Seqs!$A:$B,2,0),AU430,1),"")</f>
        <v>L</v>
      </c>
      <c r="AU430" s="9">
        <v>403</v>
      </c>
      <c r="AV430" s="9" t="str">
        <f>IFERROR(MID(VLOOKUP($B430,Seqs!$A:$B,2,0),AW430,1),"")</f>
        <v>N</v>
      </c>
      <c r="AW430" s="9">
        <v>404</v>
      </c>
      <c r="AX430" s="9" t="str">
        <f>IFERROR(MID(VLOOKUP($B430,Seqs!$A:$B,2,0),AY430,1),"")</f>
        <v>W</v>
      </c>
      <c r="AY430" s="9">
        <v>418</v>
      </c>
      <c r="AZ430" s="110" t="str">
        <f>VLOOKUP(B430,Classification!A:D,2,0)</f>
        <v>B1</v>
      </c>
      <c r="BA430" s="98" t="str">
        <f>VLOOKUP(B430,Classification!A:D,4,0)</f>
        <v>VIPandPACAP</v>
      </c>
      <c r="BB430" s="36" t="b">
        <f t="shared" si="3802"/>
        <v>1</v>
      </c>
      <c r="BC430" s="109">
        <f t="shared" si="3803"/>
        <v>229</v>
      </c>
      <c r="BD430" s="11" t="s">
        <v>1369</v>
      </c>
      <c r="BE430" s="9" t="s">
        <v>1285</v>
      </c>
      <c r="BF430" s="119">
        <v>3.01</v>
      </c>
      <c r="BG430" s="51" t="s">
        <v>1416</v>
      </c>
      <c r="BH430" s="51" t="s">
        <v>1416</v>
      </c>
      <c r="BJ430" s="111" t="s">
        <v>1281</v>
      </c>
      <c r="BK430" s="112" t="s">
        <v>1281</v>
      </c>
      <c r="BL430" s="112" t="s">
        <v>1281</v>
      </c>
      <c r="BM430" s="112" t="s">
        <v>1281</v>
      </c>
      <c r="BN430" s="112" t="s">
        <v>1281</v>
      </c>
      <c r="BO430" s="112" t="s">
        <v>1281</v>
      </c>
      <c r="BP430" s="112" t="s">
        <v>1281</v>
      </c>
      <c r="BQ430" s="112" t="s">
        <v>1281</v>
      </c>
      <c r="BR430" s="112" t="s">
        <v>1281</v>
      </c>
      <c r="BS430" s="112" t="s">
        <v>1281</v>
      </c>
      <c r="BT430" s="112" t="s">
        <v>1281</v>
      </c>
      <c r="BU430" s="112" t="s">
        <v>1281</v>
      </c>
      <c r="BV430" s="111">
        <f t="shared" si="3804"/>
        <v>149</v>
      </c>
      <c r="BW430" s="113" t="str">
        <f t="shared" si="3805"/>
        <v>-</v>
      </c>
      <c r="BX430" s="114">
        <f t="shared" si="3806"/>
        <v>183</v>
      </c>
      <c r="BY430" s="113" t="str">
        <f t="shared" si="3807"/>
        <v>-</v>
      </c>
      <c r="BZ430" s="114">
        <f t="shared" si="3808"/>
        <v>223</v>
      </c>
      <c r="CA430" s="113" t="str">
        <f t="shared" si="3809"/>
        <v>-</v>
      </c>
      <c r="CB430" s="114">
        <f t="shared" si="3810"/>
        <v>264</v>
      </c>
      <c r="CC430" s="113">
        <f t="shared" si="3811"/>
        <v>296</v>
      </c>
      <c r="CD430" s="114">
        <f t="shared" si="3812"/>
        <v>302</v>
      </c>
      <c r="CE430" s="113">
        <f t="shared" si="3813"/>
        <v>346</v>
      </c>
      <c r="CF430" s="114">
        <f t="shared" si="3814"/>
        <v>378</v>
      </c>
      <c r="CG430" s="113">
        <f t="shared" si="3815"/>
        <v>404</v>
      </c>
      <c r="CH430" s="111">
        <f t="shared" si="3816"/>
        <v>178</v>
      </c>
      <c r="CI430" s="113" t="str">
        <f t="shared" si="3817"/>
        <v>-</v>
      </c>
      <c r="CJ430" s="114">
        <f t="shared" si="3818"/>
        <v>211</v>
      </c>
      <c r="CK430" s="114" t="str">
        <f t="shared" si="3819"/>
        <v>-</v>
      </c>
      <c r="CL430" s="114">
        <f t="shared" si="3820"/>
        <v>256</v>
      </c>
      <c r="CM430" s="114" t="str">
        <f t="shared" si="3821"/>
        <v>-</v>
      </c>
      <c r="CN430" s="114">
        <f t="shared" si="3822"/>
        <v>291</v>
      </c>
      <c r="CO430" s="114">
        <f t="shared" si="3823"/>
        <v>298</v>
      </c>
      <c r="CP430" s="114">
        <f t="shared" si="3824"/>
        <v>337</v>
      </c>
      <c r="CQ430" s="114">
        <f t="shared" si="3825"/>
        <v>370</v>
      </c>
      <c r="CR430" s="114">
        <f t="shared" si="3826"/>
        <v>403</v>
      </c>
      <c r="CS430" s="114">
        <f t="shared" si="3827"/>
        <v>418</v>
      </c>
      <c r="CT430" s="109" t="e">
        <f t="shared" si="3828"/>
        <v>#VALUE!</v>
      </c>
    </row>
    <row r="431" spans="1:1029" s="12" customFormat="1" x14ac:dyDescent="0.2">
      <c r="A431" s="9" t="str">
        <f t="shared" ref="A431" si="3829">CONCATENATE(B431,"_",C431)</f>
        <v>pacr_human_6LPB</v>
      </c>
      <c r="B431" s="9" t="s">
        <v>407</v>
      </c>
      <c r="C431" s="9" t="s">
        <v>1671</v>
      </c>
      <c r="D431" s="9" t="str">
        <f>IFERROR(MID(VLOOKUP($B431,Seqs!$A:$B,2,0),E431,1),"")</f>
        <v>Q</v>
      </c>
      <c r="E431" s="9">
        <v>146</v>
      </c>
      <c r="F431" s="9" t="str">
        <f>IFERROR(MID(VLOOKUP($B431,Seqs!$A:$B,2,0),G431,1),"")</f>
        <v>C</v>
      </c>
      <c r="G431" s="9">
        <v>176</v>
      </c>
      <c r="H431" s="9" t="str">
        <f>IFERROR(MID(VLOOKUP($B431,Seqs!$A:$B,2,0),I431,1),"")</f>
        <v/>
      </c>
      <c r="I431" s="109" t="s">
        <v>23</v>
      </c>
      <c r="J431" s="9" t="str">
        <f>IFERROR(MID(VLOOKUP($B431,Seqs!$A:$B,2,0),K431,1),"")</f>
        <v/>
      </c>
      <c r="K431" s="109" t="s">
        <v>23</v>
      </c>
      <c r="L431" s="9" t="str">
        <f>IFERROR(MID(VLOOKUP($B431,Seqs!$A:$B,2,0),M431,1),"")</f>
        <v>T</v>
      </c>
      <c r="M431" s="109">
        <v>184</v>
      </c>
      <c r="N431" s="9" t="str">
        <f>IFERROR(MID(VLOOKUP($B431,Seqs!$A:$B,2,0),O431,1),"")</f>
        <v>Y</v>
      </c>
      <c r="O431" s="9">
        <v>211</v>
      </c>
      <c r="P431" s="9" t="str">
        <f>IFERROR(MID(VLOOKUP($B431,Seqs!$A:$B,2,0),Q431,1),"")</f>
        <v/>
      </c>
      <c r="Q431" s="9" t="s">
        <v>23</v>
      </c>
      <c r="R431" s="9" t="str">
        <f>IFERROR(MID(VLOOKUP($B431,Seqs!$A:$B,2,0),S431,1),"")</f>
        <v/>
      </c>
      <c r="S431" s="9" t="s">
        <v>23</v>
      </c>
      <c r="T431" s="9" t="str">
        <f>IFERROR(MID(VLOOKUP($B431,Seqs!$A:$B,2,0),U431,1),"")</f>
        <v>T</v>
      </c>
      <c r="U431" s="9">
        <v>223</v>
      </c>
      <c r="V431" s="9" t="str">
        <f>IFERROR(MID(VLOOKUP($B431,Seqs!$A:$B,2,0),W431,1),"")</f>
        <v>E</v>
      </c>
      <c r="W431" s="9">
        <v>257</v>
      </c>
      <c r="X431" s="9" t="str">
        <f>IFERROR(MID(VLOOKUP($B431,Seqs!$A:$B,2,0),Y431,1),"")</f>
        <v/>
      </c>
      <c r="Y431" s="9" t="s">
        <v>23</v>
      </c>
      <c r="Z431" s="9" t="str">
        <f>IFERROR(MID(VLOOKUP($B431,Seqs!$A:$B,2,0),AA431,1),"")</f>
        <v/>
      </c>
      <c r="AA431" s="9" t="s">
        <v>23</v>
      </c>
      <c r="AB431" s="9" t="str">
        <f>IFERROR(MID(VLOOKUP($B431,Seqs!$A:$B,2,0),AC431,1),"")</f>
        <v>E</v>
      </c>
      <c r="AC431" s="9">
        <v>262</v>
      </c>
      <c r="AD431" s="9" t="str">
        <f>IFERROR(MID(VLOOKUP($B431,Seqs!$A:$B,2,0),AE431,1),"")</f>
        <v>Y</v>
      </c>
      <c r="AE431" s="9">
        <v>290</v>
      </c>
      <c r="AF431" s="9" t="str">
        <f>IFERROR(MID(VLOOKUP($B431,Seqs!$A:$B,2,0),AG431,1),"")</f>
        <v>C</v>
      </c>
      <c r="AG431" s="9">
        <v>296</v>
      </c>
      <c r="AH431" s="9" t="str">
        <f>IFERROR(MID(VLOOKUP($B431,Seqs!$A:$B,2,0),AI431,1),"")</f>
        <v>D</v>
      </c>
      <c r="AI431" s="9">
        <v>298</v>
      </c>
      <c r="AJ431" s="9" t="str">
        <f>IFERROR(MID(VLOOKUP($B431,Seqs!$A:$B,2,0),AK431,1),"")</f>
        <v>S</v>
      </c>
      <c r="AK431" s="9">
        <v>302</v>
      </c>
      <c r="AL431" s="9" t="str">
        <f>IFERROR(MID(VLOOKUP($B431,Seqs!$A:$B,2,0),AM431,1),"")</f>
        <v>Q</v>
      </c>
      <c r="AM431" s="9">
        <v>336</v>
      </c>
      <c r="AN431" s="9" t="str">
        <f>IFERROR(MID(VLOOKUP($B431,Seqs!$A:$B,2,0),AO431,1),"")</f>
        <v>I</v>
      </c>
      <c r="AO431" s="9">
        <v>347</v>
      </c>
      <c r="AP431" s="9" t="str">
        <f>IFERROR(MID(VLOOKUP($B431,Seqs!$A:$B,2,0),AQ431,1),"")</f>
        <v>V</v>
      </c>
      <c r="AQ431" s="9">
        <v>368</v>
      </c>
      <c r="AR431" s="9" t="str">
        <f>IFERROR(MID(VLOOKUP($B431,Seqs!$A:$B,2,0),AS431,1),"")</f>
        <v>S</v>
      </c>
      <c r="AS431" s="9">
        <v>377</v>
      </c>
      <c r="AT431" s="9" t="str">
        <f>IFERROR(MID(VLOOKUP($B431,Seqs!$A:$B,2,0),AU431,1),"")</f>
        <v>F</v>
      </c>
      <c r="AU431" s="9">
        <v>402</v>
      </c>
      <c r="AV431" s="9" t="str">
        <f>IFERROR(MID(VLOOKUP($B431,Seqs!$A:$B,2,0),AW431,1),"")</f>
        <v>G</v>
      </c>
      <c r="AW431" s="9">
        <v>405</v>
      </c>
      <c r="AX431" s="9" t="str">
        <f>IFERROR(MID(VLOOKUP($B431,Seqs!$A:$B,2,0),AY431,1),"")</f>
        <v>K</v>
      </c>
      <c r="AY431" s="9">
        <v>414</v>
      </c>
      <c r="AZ431" s="110" t="str">
        <f>VLOOKUP(B431,Classification!A:D,2,0)</f>
        <v>B1</v>
      </c>
      <c r="BA431" s="98" t="str">
        <f>VLOOKUP(B431,Classification!A:D,4,0)</f>
        <v>VIPandPACAP</v>
      </c>
      <c r="BB431" s="36" t="b">
        <f t="shared" ref="BB431" si="3830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109">
        <f t="shared" ref="BC431" si="3831">_xlfn.AGGREGATE(9,6,CH431:CS431)-_xlfn.AGGREGATE(9,6,BV431:CG431)+12</f>
        <v>222</v>
      </c>
      <c r="BD431" s="11" t="s">
        <v>23</v>
      </c>
      <c r="BE431" s="9" t="s">
        <v>1285</v>
      </c>
      <c r="BF431" s="119">
        <v>3.9</v>
      </c>
      <c r="BG431" s="51" t="s">
        <v>1416</v>
      </c>
      <c r="BH431" s="51" t="s">
        <v>1416</v>
      </c>
      <c r="BJ431" s="111" t="s">
        <v>1281</v>
      </c>
      <c r="BK431" s="112" t="s">
        <v>1281</v>
      </c>
      <c r="BL431" s="112" t="s">
        <v>1281</v>
      </c>
      <c r="BM431" s="112" t="s">
        <v>1281</v>
      </c>
      <c r="BN431" s="112" t="s">
        <v>1281</v>
      </c>
      <c r="BO431" s="112" t="s">
        <v>1281</v>
      </c>
      <c r="BP431" s="112" t="s">
        <v>1281</v>
      </c>
      <c r="BQ431" s="112" t="s">
        <v>1281</v>
      </c>
      <c r="BR431" s="112" t="s">
        <v>1281</v>
      </c>
      <c r="BS431" s="112" t="s">
        <v>1281</v>
      </c>
      <c r="BT431" s="112" t="s">
        <v>1281</v>
      </c>
      <c r="BU431" s="112" t="s">
        <v>1281</v>
      </c>
      <c r="BV431" s="111">
        <f t="shared" ref="BV431" si="3832">E431</f>
        <v>146</v>
      </c>
      <c r="BW431" s="113" t="str">
        <f t="shared" ref="BW431" si="3833">I431</f>
        <v>-</v>
      </c>
      <c r="BX431" s="114">
        <f t="shared" ref="BX431" si="3834">M431</f>
        <v>184</v>
      </c>
      <c r="BY431" s="113" t="str">
        <f t="shared" ref="BY431" si="3835">Q431</f>
        <v>-</v>
      </c>
      <c r="BZ431" s="114">
        <f t="shared" ref="BZ431" si="3836">U431</f>
        <v>223</v>
      </c>
      <c r="CA431" s="113" t="str">
        <f t="shared" ref="CA431" si="3837">Y431</f>
        <v>-</v>
      </c>
      <c r="CB431" s="114">
        <f t="shared" ref="CB431" si="3838">AC431</f>
        <v>262</v>
      </c>
      <c r="CC431" s="113">
        <f t="shared" ref="CC431" si="3839">AG431</f>
        <v>296</v>
      </c>
      <c r="CD431" s="114">
        <f t="shared" ref="CD431" si="3840">AK431</f>
        <v>302</v>
      </c>
      <c r="CE431" s="113">
        <f t="shared" ref="CE431" si="3841">AO431</f>
        <v>347</v>
      </c>
      <c r="CF431" s="114">
        <f t="shared" ref="CF431" si="3842">AS431</f>
        <v>377</v>
      </c>
      <c r="CG431" s="113">
        <f t="shared" ref="CG431" si="3843">AW431</f>
        <v>405</v>
      </c>
      <c r="CH431" s="111">
        <f t="shared" ref="CH431" si="3844">G431</f>
        <v>176</v>
      </c>
      <c r="CI431" s="113" t="str">
        <f t="shared" ref="CI431" si="3845">K431</f>
        <v>-</v>
      </c>
      <c r="CJ431" s="114">
        <f t="shared" ref="CJ431" si="3846">O431</f>
        <v>211</v>
      </c>
      <c r="CK431" s="114" t="str">
        <f t="shared" ref="CK431" si="3847">S431</f>
        <v>-</v>
      </c>
      <c r="CL431" s="114">
        <f t="shared" ref="CL431" si="3848">W431</f>
        <v>257</v>
      </c>
      <c r="CM431" s="114" t="str">
        <f t="shared" ref="CM431" si="3849">AA431</f>
        <v>-</v>
      </c>
      <c r="CN431" s="114">
        <f t="shared" ref="CN431" si="3850">AE431</f>
        <v>290</v>
      </c>
      <c r="CO431" s="114">
        <f t="shared" ref="CO431" si="3851">AI431</f>
        <v>298</v>
      </c>
      <c r="CP431" s="114">
        <f t="shared" ref="CP431" si="3852">AM431</f>
        <v>336</v>
      </c>
      <c r="CQ431" s="114">
        <f t="shared" ref="CQ431" si="3853">AQ431</f>
        <v>368</v>
      </c>
      <c r="CR431" s="114">
        <f t="shared" ref="CR431" si="3854">AU431</f>
        <v>402</v>
      </c>
      <c r="CS431" s="114">
        <f t="shared" ref="CS431" si="3855">AY431</f>
        <v>414</v>
      </c>
      <c r="CT431" s="109" t="e">
        <f t="shared" ref="CT431" si="3856">M431-K431</f>
        <v>#VALUE!</v>
      </c>
    </row>
    <row r="432" spans="1:1029" x14ac:dyDescent="0.2">
      <c r="A432" s="3" t="str">
        <f t="shared" ref="A432" si="3857">CONCATENATE(B432,"_",C432)</f>
        <v>pth1r_human__wt</v>
      </c>
      <c r="B432" s="3" t="s">
        <v>408</v>
      </c>
      <c r="C432" s="3" t="s">
        <v>100</v>
      </c>
      <c r="D432" s="3" t="str">
        <f>IFERROR(MID(VLOOKUP($B432,Seqs!$A:$B,2,0),E432,1),"")</f>
        <v>F</v>
      </c>
      <c r="E432" s="105">
        <v>173</v>
      </c>
      <c r="F432" s="3" t="str">
        <f>IFERROR(MID(VLOOKUP($B432,Seqs!$A:$B,2,0),G432,1),"")</f>
        <v>F</v>
      </c>
      <c r="G432" s="3">
        <v>212</v>
      </c>
      <c r="H432" s="3" t="str">
        <f>IFERROR(MID(VLOOKUP($B432,Seqs!$A:$B,2,0),I432,1),"")</f>
        <v>R</v>
      </c>
      <c r="I432" s="23">
        <v>213</v>
      </c>
      <c r="J432" s="3" t="str">
        <f>IFERROR(MID(VLOOKUP($B432,Seqs!$A:$B,2,0),K432,1),"")</f>
        <v>H</v>
      </c>
      <c r="K432" s="23">
        <v>216</v>
      </c>
      <c r="L432" s="3" t="str">
        <f>IFERROR(MID(VLOOKUP($B432,Seqs!$A:$B,2,0),M432,1),"")</f>
        <v>C</v>
      </c>
      <c r="M432" s="23">
        <v>217</v>
      </c>
      <c r="N432" s="3" t="str">
        <f>IFERROR(MID(VLOOKUP($B432,Seqs!$A:$B,2,0),O432,1),"")</f>
        <v>T</v>
      </c>
      <c r="O432" s="3">
        <v>249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G</v>
      </c>
      <c r="U432" s="3">
        <v>277</v>
      </c>
      <c r="V432" s="3" t="str">
        <f>IFERROR(MID(VLOOKUP($B432,Seqs!$A:$B,2,0),W432,1),"")</f>
        <v>M</v>
      </c>
      <c r="W432" s="3">
        <v>312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S</v>
      </c>
      <c r="AC432" s="3">
        <v>316</v>
      </c>
      <c r="AD432" s="3" t="str">
        <f>IFERROR(MID(VLOOKUP($B432,Seqs!$A:$B,2,0),AE432,1),"")</f>
        <v>A</v>
      </c>
      <c r="AE432" s="3">
        <v>347</v>
      </c>
      <c r="AF432" s="3" t="str">
        <f>IFERROR(MID(VLOOKUP($B432,Seqs!$A:$B,2,0),AG432,1),"")</f>
        <v>C</v>
      </c>
      <c r="AG432" s="3">
        <v>351</v>
      </c>
      <c r="AH432" s="3" t="str">
        <f>IFERROR(MID(VLOOKUP($B432,Seqs!$A:$B,2,0),AI432,1),"")</f>
        <v>D</v>
      </c>
      <c r="AI432" s="3">
        <v>353</v>
      </c>
      <c r="AJ432" s="3" t="str">
        <f>IFERROR(MID(VLOOKUP($B432,Seqs!$A:$B,2,0),AK432,1),"")</f>
        <v>G</v>
      </c>
      <c r="AK432" s="105">
        <v>357</v>
      </c>
      <c r="AL432" s="3" t="str">
        <f>IFERROR(MID(VLOOKUP($B432,Seqs!$A:$B,2,0),AM432,1),"")</f>
        <v>L</v>
      </c>
      <c r="AM432" s="3">
        <v>389</v>
      </c>
      <c r="AN432" s="3" t="str">
        <f>IFERROR(MID(VLOOKUP($B432,Seqs!$A:$B,2,0),AO432,1),"")</f>
        <v>D</v>
      </c>
      <c r="AO432" s="3">
        <v>398</v>
      </c>
      <c r="AP432" s="3" t="str">
        <f>IFERROR(MID(VLOOKUP($B432,Seqs!$A:$B,2,0),AQ432,1),"")</f>
        <v>T</v>
      </c>
      <c r="AQ432" s="3">
        <v>427</v>
      </c>
      <c r="AR432" s="3" t="str">
        <f>IFERROR(MID(VLOOKUP($B432,Seqs!$A:$B,2,0),AS432,1),"")</f>
        <v>G</v>
      </c>
      <c r="AS432" s="3">
        <v>434</v>
      </c>
      <c r="AT432" s="3" t="str">
        <f>IFERROR(MID(VLOOKUP($B432,Seqs!$A:$B,2,0),AU432,1),"")</f>
        <v>C</v>
      </c>
      <c r="AU432" s="3">
        <v>462</v>
      </c>
      <c r="AV432" s="3" t="str">
        <f>IFERROR(MID(VLOOKUP($B432,Seqs!$A:$B,2,0),AW432,1),"")</f>
        <v>N</v>
      </c>
      <c r="AW432" s="3">
        <v>463</v>
      </c>
      <c r="AX432" s="3" t="str">
        <f>IFERROR(MID(VLOOKUP($B432,Seqs!$A:$B,2,0),AY432,1),"")</f>
        <v>R</v>
      </c>
      <c r="AY432" s="3">
        <v>488</v>
      </c>
      <c r="AZ432" s="77" t="str">
        <f>VLOOKUP(B432,Classification!A:D,2,0)</f>
        <v>B1</v>
      </c>
      <c r="BA432" s="94" t="str">
        <f>VLOOKUP(B432,Classification!A:D,4,0)</f>
        <v>Parathyroidhormone</v>
      </c>
      <c r="BB432" s="27" t="b">
        <f t="shared" ref="BB432" si="3858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3859">_xlfn.AGGREGATE(9,6,CH432:CS432)-_xlfn.AGGREGATE(9,6,BV432:CG432)+12</f>
        <v>268</v>
      </c>
      <c r="BD432" s="4" t="s">
        <v>23</v>
      </c>
      <c r="BE432" s="3" t="s">
        <v>23</v>
      </c>
      <c r="BF432" s="118" t="s">
        <v>23</v>
      </c>
      <c r="BG432" s="49" t="s">
        <v>23</v>
      </c>
      <c r="BH432" s="49" t="s">
        <v>23</v>
      </c>
      <c r="BI432" s="1"/>
      <c r="BJ432" s="70" t="s">
        <v>1281</v>
      </c>
      <c r="BK432" s="57" t="s">
        <v>1281</v>
      </c>
      <c r="BL432" s="57" t="s">
        <v>1281</v>
      </c>
      <c r="BM432" s="57" t="s">
        <v>1281</v>
      </c>
      <c r="BN432" s="57" t="s">
        <v>1281</v>
      </c>
      <c r="BO432" s="57" t="s">
        <v>1281</v>
      </c>
      <c r="BP432" s="57" t="s">
        <v>1281</v>
      </c>
      <c r="BQ432" s="57" t="s">
        <v>1281</v>
      </c>
      <c r="BR432" s="57" t="s">
        <v>1281</v>
      </c>
      <c r="BS432" s="57" t="s">
        <v>1281</v>
      </c>
      <c r="BT432" s="57" t="s">
        <v>1281</v>
      </c>
      <c r="BU432" s="57" t="s">
        <v>1281</v>
      </c>
      <c r="BV432" s="70">
        <f t="shared" ref="BV432" si="3860">E432</f>
        <v>173</v>
      </c>
      <c r="BW432" s="71">
        <f t="shared" ref="BW432" si="3861">I432</f>
        <v>213</v>
      </c>
      <c r="BX432" s="72">
        <f t="shared" ref="BX432" si="3862">M432</f>
        <v>217</v>
      </c>
      <c r="BY432" s="71" t="str">
        <f t="shared" ref="BY432" si="3863">Q432</f>
        <v>-</v>
      </c>
      <c r="BZ432" s="72">
        <f t="shared" ref="BZ432" si="3864">U432</f>
        <v>277</v>
      </c>
      <c r="CA432" s="71" t="str">
        <f t="shared" ref="CA432" si="3865">Y432</f>
        <v>-</v>
      </c>
      <c r="CB432" s="72">
        <f t="shared" ref="CB432" si="3866">AC432</f>
        <v>316</v>
      </c>
      <c r="CC432" s="71">
        <f t="shared" ref="CC432" si="3867">AG432</f>
        <v>351</v>
      </c>
      <c r="CD432" s="72">
        <f t="shared" ref="CD432" si="3868">AK432</f>
        <v>357</v>
      </c>
      <c r="CE432" s="71">
        <f t="shared" ref="CE432" si="3869">AO432</f>
        <v>398</v>
      </c>
      <c r="CF432" s="72">
        <f t="shared" ref="CF432" si="3870">AS432</f>
        <v>434</v>
      </c>
      <c r="CG432" s="71">
        <f t="shared" ref="CG432" si="3871">AW432</f>
        <v>463</v>
      </c>
      <c r="CH432" s="70">
        <f t="shared" ref="CH432" si="3872">G432</f>
        <v>212</v>
      </c>
      <c r="CI432" s="71">
        <f t="shared" ref="CI432" si="3873">K432</f>
        <v>216</v>
      </c>
      <c r="CJ432" s="72">
        <f t="shared" ref="CJ432" si="3874">O432</f>
        <v>249</v>
      </c>
      <c r="CK432" s="72" t="str">
        <f t="shared" ref="CK432" si="3875">S432</f>
        <v>-</v>
      </c>
      <c r="CL432" s="72">
        <f t="shared" ref="CL432" si="3876">W432</f>
        <v>312</v>
      </c>
      <c r="CM432" s="72" t="str">
        <f t="shared" ref="CM432" si="3877">AA432</f>
        <v>-</v>
      </c>
      <c r="CN432" s="72">
        <f t="shared" ref="CN432" si="3878">AE432</f>
        <v>347</v>
      </c>
      <c r="CO432" s="72">
        <f t="shared" ref="CO432" si="3879">AI432</f>
        <v>353</v>
      </c>
      <c r="CP432" s="72">
        <f t="shared" ref="CP432" si="3880">AM432</f>
        <v>389</v>
      </c>
      <c r="CQ432" s="72">
        <f t="shared" ref="CQ432" si="3881">AQ432</f>
        <v>427</v>
      </c>
      <c r="CR432" s="72">
        <f t="shared" ref="CR432" si="3882">AU432</f>
        <v>462</v>
      </c>
      <c r="CS432" s="72">
        <f t="shared" ref="CS432" si="3883">AY432</f>
        <v>488</v>
      </c>
      <c r="CT432" s="23">
        <f t="shared" ref="CT432" si="3884">M432-K432</f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30" x14ac:dyDescent="0.2">
      <c r="A433" s="3" t="str">
        <f t="shared" ref="A433" si="3885">CONCATENATE(B433,"_",C433)</f>
        <v>pth1r_human_6FJ3</v>
      </c>
      <c r="B433" s="3" t="s">
        <v>408</v>
      </c>
      <c r="C433" s="3" t="s">
        <v>1521</v>
      </c>
      <c r="D433" s="3" t="str">
        <f>IFERROR(MID(VLOOKUP($B433,Seqs!$A:$B,2,0),E433,1),"")</f>
        <v>R</v>
      </c>
      <c r="E433" s="3">
        <v>179</v>
      </c>
      <c r="F433" s="3" t="str">
        <f>IFERROR(MID(VLOOKUP($B433,Seqs!$A:$B,2,0),G433,1),"")</f>
        <v>F</v>
      </c>
      <c r="G433" s="3">
        <v>212</v>
      </c>
      <c r="H433" s="3" t="str">
        <f>IFERROR(MID(VLOOKUP($B433,Seqs!$A:$B,2,0),I433,1),"")</f>
        <v>R</v>
      </c>
      <c r="I433" s="23">
        <v>213</v>
      </c>
      <c r="J433" s="3" t="str">
        <f>IFERROR(MID(VLOOKUP($B433,Seqs!$A:$B,2,0),K433,1),"")</f>
        <v>H</v>
      </c>
      <c r="K433" s="23">
        <v>216</v>
      </c>
      <c r="L433" s="3" t="str">
        <f>IFERROR(MID(VLOOKUP($B433,Seqs!$A:$B,2,0),M433,1),"")</f>
        <v>C</v>
      </c>
      <c r="M433" s="23">
        <v>217</v>
      </c>
      <c r="N433" s="3" t="str">
        <f>IFERROR(MID(VLOOKUP($B433,Seqs!$A:$B,2,0),O433,1),"")</f>
        <v>Y</v>
      </c>
      <c r="O433" s="3">
        <v>245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Y</v>
      </c>
      <c r="U433" s="3">
        <v>278</v>
      </c>
      <c r="V433" s="3" t="str">
        <f>IFERROR(MID(VLOOKUP($B433,Seqs!$A:$B,2,0),W433,1),"")</f>
        <v>M</v>
      </c>
      <c r="W433" s="3">
        <v>312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3">
        <v>316</v>
      </c>
      <c r="AD433" s="3" t="str">
        <f>IFERROR(MID(VLOOKUP($B433,Seqs!$A:$B,2,0),AE433,1),"")</f>
        <v>A</v>
      </c>
      <c r="AE433" s="3">
        <v>347</v>
      </c>
      <c r="AF433" s="3" t="str">
        <f>IFERROR(MID(VLOOKUP($B433,Seqs!$A:$B,2,0),AG433,1),"")</f>
        <v>C</v>
      </c>
      <c r="AG433" s="3">
        <v>351</v>
      </c>
      <c r="AH433" s="3" t="str">
        <f>IFERROR(MID(VLOOKUP($B433,Seqs!$A:$B,2,0),AI433,1),"")</f>
        <v>D</v>
      </c>
      <c r="AI433" s="3">
        <v>353</v>
      </c>
      <c r="AJ433" s="3" t="str">
        <f>IFERROR(MID(VLOOKUP($B433,Seqs!$A:$B,2,0),AK433,1),"")</f>
        <v>G</v>
      </c>
      <c r="AK433" s="3">
        <v>357</v>
      </c>
      <c r="AL433" s="3" t="str">
        <f>IFERROR(MID(VLOOKUP($B433,Seqs!$A:$B,2,0),AM433,1),"")</f>
        <v>R</v>
      </c>
      <c r="AM433" s="3">
        <v>383</v>
      </c>
      <c r="AN433" s="3" t="str">
        <f>IFERROR(MID(VLOOKUP($B433,Seqs!$A:$B,2,0),AO433,1),"")</f>
        <v>D</v>
      </c>
      <c r="AO433" s="3">
        <v>398</v>
      </c>
      <c r="AP433" s="3" t="str">
        <f>IFERROR(MID(VLOOKUP($B433,Seqs!$A:$B,2,0),AQ433,1),"")</f>
        <v>T</v>
      </c>
      <c r="AQ433" s="3">
        <v>427</v>
      </c>
      <c r="AR433" s="3" t="str">
        <f>IFERROR(MID(VLOOKUP($B433,Seqs!$A:$B,2,0),AS433,1),"")</f>
        <v>G</v>
      </c>
      <c r="AS433" s="3">
        <v>434</v>
      </c>
      <c r="AT433" s="3" t="str">
        <f>IFERROR(MID(VLOOKUP($B433,Seqs!$A:$B,2,0),AU433,1),"")</f>
        <v>C</v>
      </c>
      <c r="AU433" s="3">
        <v>462</v>
      </c>
      <c r="AV433" s="3" t="str">
        <f>IFERROR(MID(VLOOKUP($B433,Seqs!$A:$B,2,0),AW433,1),"")</f>
        <v>N</v>
      </c>
      <c r="AW433" s="3">
        <v>463</v>
      </c>
      <c r="AX433" s="3" t="str">
        <f>IFERROR(MID(VLOOKUP($B433,Seqs!$A:$B,2,0),AY433,1),"")</f>
        <v>W</v>
      </c>
      <c r="AY433" s="3">
        <v>477</v>
      </c>
      <c r="AZ433" s="77" t="str">
        <f>VLOOKUP(B433,Classification!A:D,2,0)</f>
        <v>B1</v>
      </c>
      <c r="BA433" s="94" t="str">
        <f>VLOOKUP(B433,Classification!A:D,4,0)</f>
        <v>Parathyroidhormone</v>
      </c>
      <c r="BB433" s="27" t="b">
        <f t="shared" ref="BB433" si="3886">AND(E433&lt;G433,OR(G433&lt;I433,I433="-"),OR(I433&lt;K433,I433="-"),OR(K433&lt;M433,K433="-"),M433&lt;O433,OR(O433&lt;Q433,Q433="-"),OR(Q433&lt;S433,Q433="-"),OR(S433&lt;U433,S433="-"),U433&lt;W433,OR(W433&lt;Y433,Y433="-"),OR(Y433&lt;AA433,Y433="-"),OR(AA433&lt;AC433,AA433="-"),AC433&lt;AE433,OR(AE433&lt;AG433,AG433="-"),OR(AG433&lt;AI433,AG433="-"),OR(AI433&lt;AK433,AI433="-"),AK433&lt;AM433,AM433&lt;AO433,AO433&lt;AQ433,AQ433&lt;AS433,AS433&lt;AU433,OR(AU433&lt;AW433,AW433="-"),OR(AW433&lt;AY433,AW433="-"))</f>
        <v>1</v>
      </c>
      <c r="BC433" s="23">
        <f t="shared" ref="BC433" si="3887">_xlfn.AGGREGATE(9,6,CH433:CS433)-_xlfn.AGGREGATE(9,6,BV433:CG433)+12</f>
        <v>240</v>
      </c>
      <c r="BD433" s="4" t="s">
        <v>1370</v>
      </c>
      <c r="BE433" s="3" t="s">
        <v>1368</v>
      </c>
      <c r="BF433" s="118">
        <v>2.5</v>
      </c>
      <c r="BG433" s="49" t="s">
        <v>1</v>
      </c>
      <c r="BH433" s="49" t="s">
        <v>1</v>
      </c>
      <c r="BI433" s="1"/>
      <c r="BJ433" s="70" t="s">
        <v>1281</v>
      </c>
      <c r="BK433" s="57" t="s">
        <v>1281</v>
      </c>
      <c r="BL433" s="57" t="s">
        <v>1281</v>
      </c>
      <c r="BM433" s="57" t="s">
        <v>1281</v>
      </c>
      <c r="BN433" s="57" t="s">
        <v>1281</v>
      </c>
      <c r="BO433" s="57" t="s">
        <v>1281</v>
      </c>
      <c r="BP433" s="57" t="s">
        <v>1281</v>
      </c>
      <c r="BQ433" s="57" t="s">
        <v>1281</v>
      </c>
      <c r="BR433" s="57" t="s">
        <v>1281</v>
      </c>
      <c r="BS433" s="57" t="s">
        <v>1281</v>
      </c>
      <c r="BT433" s="57" t="s">
        <v>1281</v>
      </c>
      <c r="BU433" s="57" t="s">
        <v>1281</v>
      </c>
      <c r="BV433" s="70">
        <f t="shared" ref="BV433" si="3888">E433</f>
        <v>179</v>
      </c>
      <c r="BW433" s="71">
        <f t="shared" ref="BW433" si="3889">I433</f>
        <v>213</v>
      </c>
      <c r="BX433" s="72">
        <f t="shared" ref="BX433" si="3890">M433</f>
        <v>217</v>
      </c>
      <c r="BY433" s="71" t="str">
        <f t="shared" ref="BY433" si="3891">Q433</f>
        <v>-</v>
      </c>
      <c r="BZ433" s="72">
        <f t="shared" ref="BZ433" si="3892">U433</f>
        <v>278</v>
      </c>
      <c r="CA433" s="71" t="str">
        <f t="shared" ref="CA433" si="3893">Y433</f>
        <v>-</v>
      </c>
      <c r="CB433" s="72">
        <f t="shared" ref="CB433" si="3894">AC433</f>
        <v>316</v>
      </c>
      <c r="CC433" s="71">
        <f t="shared" ref="CC433" si="3895">AG433</f>
        <v>351</v>
      </c>
      <c r="CD433" s="72">
        <f t="shared" ref="CD433" si="3896">AK433</f>
        <v>357</v>
      </c>
      <c r="CE433" s="71">
        <f t="shared" ref="CE433" si="3897">AO433</f>
        <v>398</v>
      </c>
      <c r="CF433" s="72">
        <f t="shared" ref="CF433" si="3898">AS433</f>
        <v>434</v>
      </c>
      <c r="CG433" s="71">
        <f t="shared" ref="CG433" si="3899">AW433</f>
        <v>463</v>
      </c>
      <c r="CH433" s="70">
        <f t="shared" ref="CH433" si="3900">G433</f>
        <v>212</v>
      </c>
      <c r="CI433" s="71">
        <f t="shared" ref="CI433" si="3901">K433</f>
        <v>216</v>
      </c>
      <c r="CJ433" s="72">
        <f t="shared" ref="CJ433" si="3902">O433</f>
        <v>245</v>
      </c>
      <c r="CK433" s="72" t="str">
        <f t="shared" ref="CK433" si="3903">S433</f>
        <v>-</v>
      </c>
      <c r="CL433" s="72">
        <f t="shared" ref="CL433" si="3904">W433</f>
        <v>312</v>
      </c>
      <c r="CM433" s="72" t="str">
        <f t="shared" ref="CM433" si="3905">AA433</f>
        <v>-</v>
      </c>
      <c r="CN433" s="72">
        <f t="shared" ref="CN433" si="3906">AE433</f>
        <v>347</v>
      </c>
      <c r="CO433" s="72">
        <f t="shared" ref="CO433" si="3907">AI433</f>
        <v>353</v>
      </c>
      <c r="CP433" s="72">
        <f t="shared" ref="CP433" si="3908">AM433</f>
        <v>383</v>
      </c>
      <c r="CQ433" s="72">
        <f t="shared" ref="CQ433" si="3909">AQ433</f>
        <v>427</v>
      </c>
      <c r="CR433" s="72">
        <f t="shared" ref="CR433" si="3910">AU433</f>
        <v>462</v>
      </c>
      <c r="CS433" s="72">
        <f t="shared" ref="CS433" si="3911">AY433</f>
        <v>477</v>
      </c>
      <c r="CT433" s="23">
        <f t="shared" ref="CT433" si="3912"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30" s="12" customFormat="1" x14ac:dyDescent="0.2">
      <c r="A434" s="9" t="str">
        <f t="shared" ref="A434" si="3913">CONCATENATE(B434,"_",C434)</f>
        <v>pth1r_human_6NBF</v>
      </c>
      <c r="B434" s="9" t="s">
        <v>408</v>
      </c>
      <c r="C434" s="9" t="s">
        <v>1567</v>
      </c>
      <c r="D434" s="9" t="str">
        <f>IFERROR(MID(VLOOKUP($B434,Seqs!$A:$B,2,0),E434,1),"")</f>
        <v>T</v>
      </c>
      <c r="E434" s="9">
        <v>178</v>
      </c>
      <c r="F434" s="9" t="str">
        <f>IFERROR(MID(VLOOKUP($B434,Seqs!$A:$B,2,0),G434,1),"")</f>
        <v>F</v>
      </c>
      <c r="G434" s="9">
        <v>212</v>
      </c>
      <c r="H434" s="9" t="str">
        <f>IFERROR(MID(VLOOKUP($B434,Seqs!$A:$B,2,0),I434,1),"")</f>
        <v>R</v>
      </c>
      <c r="I434" s="109">
        <v>213</v>
      </c>
      <c r="J434" s="9" t="str">
        <f>IFERROR(MID(VLOOKUP($B434,Seqs!$A:$B,2,0),K434,1),"")</f>
        <v>H</v>
      </c>
      <c r="K434" s="109">
        <v>216</v>
      </c>
      <c r="L434" s="9" t="str">
        <f>IFERROR(MID(VLOOKUP($B434,Seqs!$A:$B,2,0),M434,1),"")</f>
        <v>C</v>
      </c>
      <c r="M434" s="109">
        <v>217</v>
      </c>
      <c r="N434" s="9" t="str">
        <f>IFERROR(MID(VLOOKUP($B434,Seqs!$A:$B,2,0),O434,1),"")</f>
        <v>S</v>
      </c>
      <c r="O434" s="9">
        <v>246</v>
      </c>
      <c r="P434" s="9" t="str">
        <f>IFERROR(MID(VLOOKUP($B434,Seqs!$A:$B,2,0),Q434,1),"")</f>
        <v/>
      </c>
      <c r="Q434" s="9" t="s">
        <v>23</v>
      </c>
      <c r="R434" s="9" t="str">
        <f>IFERROR(MID(VLOOKUP($B434,Seqs!$A:$B,2,0),S434,1),"")</f>
        <v/>
      </c>
      <c r="S434" s="9" t="s">
        <v>23</v>
      </c>
      <c r="T434" s="9" t="str">
        <f>IFERROR(MID(VLOOKUP($B434,Seqs!$A:$B,2,0),U434,1),"")</f>
        <v>Y</v>
      </c>
      <c r="U434" s="9">
        <v>278</v>
      </c>
      <c r="V434" s="9" t="str">
        <f>IFERROR(MID(VLOOKUP($B434,Seqs!$A:$B,2,0),W434,1),"")</f>
        <v>M</v>
      </c>
      <c r="W434" s="9">
        <v>312</v>
      </c>
      <c r="X434" s="9" t="str">
        <f>IFERROR(MID(VLOOKUP($B434,Seqs!$A:$B,2,0),Y434,1),"")</f>
        <v/>
      </c>
      <c r="Y434" s="9" t="s">
        <v>23</v>
      </c>
      <c r="Z434" s="9" t="str">
        <f>IFERROR(MID(VLOOKUP($B434,Seqs!$A:$B,2,0),AA434,1),"")</f>
        <v/>
      </c>
      <c r="AA434" s="9" t="s">
        <v>23</v>
      </c>
      <c r="AB434" s="9" t="str">
        <f>IFERROR(MID(VLOOKUP($B434,Seqs!$A:$B,2,0),AC434,1),"")</f>
        <v>S</v>
      </c>
      <c r="AC434" s="9">
        <v>316</v>
      </c>
      <c r="AD434" s="9" t="str">
        <f>IFERROR(MID(VLOOKUP($B434,Seqs!$A:$B,2,0),AE434,1),"")</f>
        <v>L</v>
      </c>
      <c r="AE434" s="9">
        <v>346</v>
      </c>
      <c r="AF434" s="9" t="str">
        <f>IFERROR(MID(VLOOKUP($B434,Seqs!$A:$B,2,0),AG434,1),"")</f>
        <v>C</v>
      </c>
      <c r="AG434" s="9">
        <v>351</v>
      </c>
      <c r="AH434" s="9" t="str">
        <f>IFERROR(MID(VLOOKUP($B434,Seqs!$A:$B,2,0),AI434,1),"")</f>
        <v>D</v>
      </c>
      <c r="AI434" s="9">
        <v>353</v>
      </c>
      <c r="AJ434" s="9" t="str">
        <f>IFERROR(MID(VLOOKUP($B434,Seqs!$A:$B,2,0),AK434,1),"")</f>
        <v>G</v>
      </c>
      <c r="AK434" s="9">
        <v>357</v>
      </c>
      <c r="AL434" s="9" t="str">
        <f>IFERROR(MID(VLOOKUP($B434,Seqs!$A:$B,2,0),AM434,1),"")</f>
        <v>N</v>
      </c>
      <c r="AM434" s="9">
        <v>393</v>
      </c>
      <c r="AN434" s="9" t="str">
        <f>IFERROR(MID(VLOOKUP($B434,Seqs!$A:$B,2,0),AO434,1),"")</f>
        <v>T</v>
      </c>
      <c r="AO434" s="9">
        <v>399</v>
      </c>
      <c r="AP434" s="9" t="str">
        <f>IFERROR(MID(VLOOKUP($B434,Seqs!$A:$B,2,0),AQ434,1),"")</f>
        <v>F</v>
      </c>
      <c r="AQ434" s="9">
        <v>424</v>
      </c>
      <c r="AR434" s="9" t="str">
        <f>IFERROR(MID(VLOOKUP($B434,Seqs!$A:$B,2,0),AS434,1),"")</f>
        <v>G</v>
      </c>
      <c r="AS434" s="9">
        <v>434</v>
      </c>
      <c r="AT434" s="9" t="str">
        <f>IFERROR(MID(VLOOKUP($B434,Seqs!$A:$B,2,0),AU434,1),"")</f>
        <v>C</v>
      </c>
      <c r="AU434" s="9">
        <v>462</v>
      </c>
      <c r="AV434" s="9" t="str">
        <f>IFERROR(MID(VLOOKUP($B434,Seqs!$A:$B,2,0),AW434,1),"")</f>
        <v>N</v>
      </c>
      <c r="AW434" s="9">
        <v>463</v>
      </c>
      <c r="AX434" s="9" t="str">
        <f>IFERROR(MID(VLOOKUP($B434,Seqs!$A:$B,2,0),AY434,1),"")</f>
        <v>L</v>
      </c>
      <c r="AY434" s="9">
        <v>481</v>
      </c>
      <c r="AZ434" s="110" t="str">
        <f>VLOOKUP(B434,Classification!A:D,2,0)</f>
        <v>B1</v>
      </c>
      <c r="BA434" s="98" t="str">
        <f>VLOOKUP(B434,Classification!A:D,4,0)</f>
        <v>Parathyroidhormone</v>
      </c>
      <c r="BB434" s="36" t="b">
        <f t="shared" ref="BB434" si="3914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109">
        <f t="shared" ref="BC434" si="3915">_xlfn.AGGREGATE(9,6,CH434:CS434)-_xlfn.AGGREGATE(9,6,BV434:CG434)+12</f>
        <v>251</v>
      </c>
      <c r="BD434" s="11" t="s">
        <v>23</v>
      </c>
      <c r="BE434" s="9" t="s">
        <v>1285</v>
      </c>
      <c r="BF434" s="119">
        <v>3</v>
      </c>
      <c r="BG434" s="51" t="s">
        <v>1416</v>
      </c>
      <c r="BH434" s="51" t="s">
        <v>1416</v>
      </c>
      <c r="BJ434" s="111" t="s">
        <v>1281</v>
      </c>
      <c r="BK434" s="112" t="s">
        <v>1281</v>
      </c>
      <c r="BL434" s="112" t="s">
        <v>1281</v>
      </c>
      <c r="BM434" s="112" t="s">
        <v>1281</v>
      </c>
      <c r="BN434" s="112" t="s">
        <v>1281</v>
      </c>
      <c r="BO434" s="112" t="s">
        <v>1281</v>
      </c>
      <c r="BP434" s="112" t="s">
        <v>1281</v>
      </c>
      <c r="BQ434" s="112" t="s">
        <v>1281</v>
      </c>
      <c r="BR434" s="112" t="s">
        <v>1281</v>
      </c>
      <c r="BS434" s="112" t="s">
        <v>1281</v>
      </c>
      <c r="BT434" s="112" t="s">
        <v>1281</v>
      </c>
      <c r="BU434" s="112" t="s">
        <v>1281</v>
      </c>
      <c r="BV434" s="111">
        <f t="shared" ref="BV434" si="3916">E434</f>
        <v>178</v>
      </c>
      <c r="BW434" s="113">
        <f t="shared" ref="BW434" si="3917">I434</f>
        <v>213</v>
      </c>
      <c r="BX434" s="114">
        <f t="shared" ref="BX434" si="3918">M434</f>
        <v>217</v>
      </c>
      <c r="BY434" s="113" t="str">
        <f t="shared" ref="BY434" si="3919">Q434</f>
        <v>-</v>
      </c>
      <c r="BZ434" s="114">
        <f t="shared" ref="BZ434" si="3920">U434</f>
        <v>278</v>
      </c>
      <c r="CA434" s="113" t="str">
        <f t="shared" ref="CA434" si="3921">Y434</f>
        <v>-</v>
      </c>
      <c r="CB434" s="114">
        <f t="shared" ref="CB434" si="3922">AC434</f>
        <v>316</v>
      </c>
      <c r="CC434" s="113">
        <f t="shared" ref="CC434" si="3923">AG434</f>
        <v>351</v>
      </c>
      <c r="CD434" s="114">
        <f t="shared" ref="CD434" si="3924">AK434</f>
        <v>357</v>
      </c>
      <c r="CE434" s="113">
        <f t="shared" ref="CE434" si="3925">AO434</f>
        <v>399</v>
      </c>
      <c r="CF434" s="114">
        <f t="shared" ref="CF434" si="3926">AS434</f>
        <v>434</v>
      </c>
      <c r="CG434" s="113">
        <f t="shared" ref="CG434" si="3927">AW434</f>
        <v>463</v>
      </c>
      <c r="CH434" s="111">
        <f t="shared" ref="CH434" si="3928">G434</f>
        <v>212</v>
      </c>
      <c r="CI434" s="113">
        <f t="shared" ref="CI434" si="3929">K434</f>
        <v>216</v>
      </c>
      <c r="CJ434" s="114">
        <f t="shared" ref="CJ434" si="3930">O434</f>
        <v>246</v>
      </c>
      <c r="CK434" s="114" t="str">
        <f t="shared" ref="CK434" si="3931">S434</f>
        <v>-</v>
      </c>
      <c r="CL434" s="114">
        <f t="shared" ref="CL434" si="3932">W434</f>
        <v>312</v>
      </c>
      <c r="CM434" s="114" t="str">
        <f t="shared" ref="CM434" si="3933">AA434</f>
        <v>-</v>
      </c>
      <c r="CN434" s="114">
        <f t="shared" ref="CN434" si="3934">AE434</f>
        <v>346</v>
      </c>
      <c r="CO434" s="114">
        <f t="shared" ref="CO434" si="3935">AI434</f>
        <v>353</v>
      </c>
      <c r="CP434" s="114">
        <f t="shared" ref="CP434" si="3936">AM434</f>
        <v>393</v>
      </c>
      <c r="CQ434" s="114">
        <f t="shared" ref="CQ434" si="3937">AQ434</f>
        <v>424</v>
      </c>
      <c r="CR434" s="114">
        <f t="shared" ref="CR434" si="3938">AU434</f>
        <v>462</v>
      </c>
      <c r="CS434" s="114">
        <f t="shared" ref="CS434" si="3939">AY434</f>
        <v>481</v>
      </c>
      <c r="CT434" s="109">
        <f t="shared" ref="CT434" si="3940">M434-K434</f>
        <v>1</v>
      </c>
    </row>
    <row r="435" spans="1:1030" s="12" customFormat="1" x14ac:dyDescent="0.2">
      <c r="A435" s="9" t="str">
        <f t="shared" ref="A435" si="3941">CONCATENATE(B435,"_",C435)</f>
        <v>pth1r_human_6NBH</v>
      </c>
      <c r="B435" s="9" t="s">
        <v>408</v>
      </c>
      <c r="C435" s="9" t="s">
        <v>1568</v>
      </c>
      <c r="D435" s="9" t="str">
        <f>IFERROR(MID(VLOOKUP($B435,Seqs!$A:$B,2,0),E435,1),"")</f>
        <v>T</v>
      </c>
      <c r="E435" s="9">
        <v>178</v>
      </c>
      <c r="F435" s="9" t="str">
        <f>IFERROR(MID(VLOOKUP($B435,Seqs!$A:$B,2,0),G435,1),"")</f>
        <v>F</v>
      </c>
      <c r="G435" s="9">
        <v>212</v>
      </c>
      <c r="H435" s="9" t="str">
        <f>IFERROR(MID(VLOOKUP($B435,Seqs!$A:$B,2,0),I435,1),"")</f>
        <v>R</v>
      </c>
      <c r="I435" s="109">
        <v>213</v>
      </c>
      <c r="J435" s="9" t="str">
        <f>IFERROR(MID(VLOOKUP($B435,Seqs!$A:$B,2,0),K435,1),"")</f>
        <v>H</v>
      </c>
      <c r="K435" s="109">
        <v>216</v>
      </c>
      <c r="L435" s="9" t="str">
        <f>IFERROR(MID(VLOOKUP($B435,Seqs!$A:$B,2,0),M435,1),"")</f>
        <v>C</v>
      </c>
      <c r="M435" s="109">
        <v>217</v>
      </c>
      <c r="N435" s="9" t="str">
        <f>IFERROR(MID(VLOOKUP($B435,Seqs!$A:$B,2,0),O435,1),"")</f>
        <v>L</v>
      </c>
      <c r="O435" s="9">
        <v>250</v>
      </c>
      <c r="P435" s="9" t="str">
        <f>IFERROR(MID(VLOOKUP($B435,Seqs!$A:$B,2,0),Q435,1),"")</f>
        <v/>
      </c>
      <c r="Q435" s="9" t="s">
        <v>23</v>
      </c>
      <c r="R435" s="9" t="str">
        <f>IFERROR(MID(VLOOKUP($B435,Seqs!$A:$B,2,0),S435,1),"")</f>
        <v/>
      </c>
      <c r="S435" s="9" t="s">
        <v>23</v>
      </c>
      <c r="T435" s="9" t="str">
        <f>IFERROR(MID(VLOOKUP($B435,Seqs!$A:$B,2,0),U435,1),"")</f>
        <v>Y</v>
      </c>
      <c r="U435" s="9">
        <v>278</v>
      </c>
      <c r="V435" s="9" t="str">
        <f>IFERROR(MID(VLOOKUP($B435,Seqs!$A:$B,2,0),W435,1),"")</f>
        <v>M</v>
      </c>
      <c r="W435" s="9">
        <v>312</v>
      </c>
      <c r="X435" s="9" t="str">
        <f>IFERROR(MID(VLOOKUP($B435,Seqs!$A:$B,2,0),Y435,1),"")</f>
        <v/>
      </c>
      <c r="Y435" s="9" t="s">
        <v>23</v>
      </c>
      <c r="Z435" s="9" t="str">
        <f>IFERROR(MID(VLOOKUP($B435,Seqs!$A:$B,2,0),AA435,1),"")</f>
        <v/>
      </c>
      <c r="AA435" s="9" t="s">
        <v>23</v>
      </c>
      <c r="AB435" s="9" t="str">
        <f>IFERROR(MID(VLOOKUP($B435,Seqs!$A:$B,2,0),AC435,1),"")</f>
        <v>S</v>
      </c>
      <c r="AC435" s="9">
        <v>316</v>
      </c>
      <c r="AD435" s="9" t="str">
        <f>IFERROR(MID(VLOOKUP($B435,Seqs!$A:$B,2,0),AE435,1),"")</f>
        <v>A</v>
      </c>
      <c r="AE435" s="9">
        <v>347</v>
      </c>
      <c r="AF435" s="9" t="str">
        <f>IFERROR(MID(VLOOKUP($B435,Seqs!$A:$B,2,0),AG435,1),"")</f>
        <v>C</v>
      </c>
      <c r="AG435" s="9">
        <v>351</v>
      </c>
      <c r="AH435" s="9" t="str">
        <f>IFERROR(MID(VLOOKUP($B435,Seqs!$A:$B,2,0),AI435,1),"")</f>
        <v>D</v>
      </c>
      <c r="AI435" s="9">
        <v>353</v>
      </c>
      <c r="AJ435" s="9" t="str">
        <f>IFERROR(MID(VLOOKUP($B435,Seqs!$A:$B,2,0),AK435,1),"")</f>
        <v>G</v>
      </c>
      <c r="AK435" s="9">
        <v>357</v>
      </c>
      <c r="AL435" s="9" t="str">
        <f>IFERROR(MID(VLOOKUP($B435,Seqs!$A:$B,2,0),AM435,1),"")</f>
        <v>T</v>
      </c>
      <c r="AM435" s="9">
        <v>392</v>
      </c>
      <c r="AN435" s="9" t="str">
        <f>IFERROR(MID(VLOOKUP($B435,Seqs!$A:$B,2,0),AO435,1),"")</f>
        <v>T</v>
      </c>
      <c r="AO435" s="9">
        <v>399</v>
      </c>
      <c r="AP435" s="9" t="str">
        <f>IFERROR(MID(VLOOKUP($B435,Seqs!$A:$B,2,0),AQ435,1),"")</f>
        <v>F</v>
      </c>
      <c r="AQ435" s="9">
        <v>424</v>
      </c>
      <c r="AR435" s="9" t="str">
        <f>IFERROR(MID(VLOOKUP($B435,Seqs!$A:$B,2,0),AS435,1),"")</f>
        <v>G</v>
      </c>
      <c r="AS435" s="9">
        <v>434</v>
      </c>
      <c r="AT435" s="9" t="str">
        <f>IFERROR(MID(VLOOKUP($B435,Seqs!$A:$B,2,0),AU435,1),"")</f>
        <v>C</v>
      </c>
      <c r="AU435" s="9">
        <v>462</v>
      </c>
      <c r="AV435" s="9" t="str">
        <f>IFERROR(MID(VLOOKUP($B435,Seqs!$A:$B,2,0),AW435,1),"")</f>
        <v>N</v>
      </c>
      <c r="AW435" s="9">
        <v>463</v>
      </c>
      <c r="AX435" s="9" t="str">
        <f>IFERROR(MID(VLOOKUP($B435,Seqs!$A:$B,2,0),AY435,1),"")</f>
        <v>D</v>
      </c>
      <c r="AY435" s="9">
        <v>482</v>
      </c>
      <c r="AZ435" s="110" t="str">
        <f>VLOOKUP(B435,Classification!A:D,2,0)</f>
        <v>B1</v>
      </c>
      <c r="BA435" s="98" t="str">
        <f>VLOOKUP(B435,Classification!A:D,4,0)</f>
        <v>Parathyroidhormone</v>
      </c>
      <c r="BB435" s="36" t="b">
        <f t="shared" ref="BB435" si="3942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109">
        <f t="shared" ref="BC435" si="3943">_xlfn.AGGREGATE(9,6,CH435:CS435)-_xlfn.AGGREGATE(9,6,BV435:CG435)+12</f>
        <v>256</v>
      </c>
      <c r="BD435" s="11" t="s">
        <v>23</v>
      </c>
      <c r="BE435" s="9" t="s">
        <v>1285</v>
      </c>
      <c r="BF435" s="119">
        <v>3.5</v>
      </c>
      <c r="BG435" s="51" t="s">
        <v>1416</v>
      </c>
      <c r="BH435" s="51" t="s">
        <v>1416</v>
      </c>
      <c r="BJ435" s="111" t="s">
        <v>1281</v>
      </c>
      <c r="BK435" s="112" t="s">
        <v>1281</v>
      </c>
      <c r="BL435" s="112" t="s">
        <v>1281</v>
      </c>
      <c r="BM435" s="112" t="s">
        <v>1281</v>
      </c>
      <c r="BN435" s="112" t="s">
        <v>1281</v>
      </c>
      <c r="BO435" s="112" t="s">
        <v>1281</v>
      </c>
      <c r="BP435" s="112" t="s">
        <v>1281</v>
      </c>
      <c r="BQ435" s="112" t="s">
        <v>1281</v>
      </c>
      <c r="BR435" s="112" t="s">
        <v>1281</v>
      </c>
      <c r="BS435" s="112" t="s">
        <v>1281</v>
      </c>
      <c r="BT435" s="112" t="s">
        <v>1281</v>
      </c>
      <c r="BU435" s="112" t="s">
        <v>1281</v>
      </c>
      <c r="BV435" s="111">
        <f t="shared" ref="BV435" si="3944">E435</f>
        <v>178</v>
      </c>
      <c r="BW435" s="113">
        <f t="shared" ref="BW435" si="3945">I435</f>
        <v>213</v>
      </c>
      <c r="BX435" s="114">
        <f t="shared" ref="BX435" si="3946">M435</f>
        <v>217</v>
      </c>
      <c r="BY435" s="113" t="str">
        <f t="shared" ref="BY435" si="3947">Q435</f>
        <v>-</v>
      </c>
      <c r="BZ435" s="114">
        <f t="shared" ref="BZ435" si="3948">U435</f>
        <v>278</v>
      </c>
      <c r="CA435" s="113" t="str">
        <f t="shared" ref="CA435" si="3949">Y435</f>
        <v>-</v>
      </c>
      <c r="CB435" s="114">
        <f t="shared" ref="CB435" si="3950">AC435</f>
        <v>316</v>
      </c>
      <c r="CC435" s="113">
        <f t="shared" ref="CC435" si="3951">AG435</f>
        <v>351</v>
      </c>
      <c r="CD435" s="114">
        <f t="shared" ref="CD435" si="3952">AK435</f>
        <v>357</v>
      </c>
      <c r="CE435" s="113">
        <f t="shared" ref="CE435" si="3953">AO435</f>
        <v>399</v>
      </c>
      <c r="CF435" s="114">
        <f t="shared" ref="CF435" si="3954">AS435</f>
        <v>434</v>
      </c>
      <c r="CG435" s="113">
        <f t="shared" ref="CG435" si="3955">AW435</f>
        <v>463</v>
      </c>
      <c r="CH435" s="111">
        <f t="shared" ref="CH435" si="3956">G435</f>
        <v>212</v>
      </c>
      <c r="CI435" s="113">
        <f t="shared" ref="CI435" si="3957">K435</f>
        <v>216</v>
      </c>
      <c r="CJ435" s="114">
        <f t="shared" ref="CJ435" si="3958">O435</f>
        <v>250</v>
      </c>
      <c r="CK435" s="114" t="str">
        <f t="shared" ref="CK435" si="3959">S435</f>
        <v>-</v>
      </c>
      <c r="CL435" s="114">
        <f t="shared" ref="CL435" si="3960">W435</f>
        <v>312</v>
      </c>
      <c r="CM435" s="114" t="str">
        <f t="shared" ref="CM435" si="3961">AA435</f>
        <v>-</v>
      </c>
      <c r="CN435" s="114">
        <f t="shared" ref="CN435" si="3962">AE435</f>
        <v>347</v>
      </c>
      <c r="CO435" s="114">
        <f t="shared" ref="CO435" si="3963">AI435</f>
        <v>353</v>
      </c>
      <c r="CP435" s="114">
        <f t="shared" ref="CP435" si="3964">AM435</f>
        <v>392</v>
      </c>
      <c r="CQ435" s="114">
        <f t="shared" ref="CQ435" si="3965">AQ435</f>
        <v>424</v>
      </c>
      <c r="CR435" s="114">
        <f t="shared" ref="CR435" si="3966">AU435</f>
        <v>462</v>
      </c>
      <c r="CS435" s="114">
        <f t="shared" ref="CS435" si="3967">AY435</f>
        <v>482</v>
      </c>
      <c r="CT435" s="109">
        <f t="shared" ref="CT435" si="3968">M435-K435</f>
        <v>1</v>
      </c>
    </row>
    <row r="436" spans="1:1030" s="12" customFormat="1" x14ac:dyDescent="0.2">
      <c r="A436" s="9" t="str">
        <f t="shared" ref="A436" si="3969">CONCATENATE(B436,"_",C436)</f>
        <v>pth1r_human_6NBI</v>
      </c>
      <c r="B436" s="9" t="s">
        <v>408</v>
      </c>
      <c r="C436" s="9" t="s">
        <v>1569</v>
      </c>
      <c r="D436" s="9" t="str">
        <f>IFERROR(MID(VLOOKUP($B436,Seqs!$A:$B,2,0),E436,1),"")</f>
        <v>F</v>
      </c>
      <c r="E436" s="9">
        <v>173</v>
      </c>
      <c r="F436" s="9" t="str">
        <f>IFERROR(MID(VLOOKUP($B436,Seqs!$A:$B,2,0),G436,1),"")</f>
        <v>F</v>
      </c>
      <c r="G436" s="9">
        <v>212</v>
      </c>
      <c r="H436" s="9" t="str">
        <f>IFERROR(MID(VLOOKUP($B436,Seqs!$A:$B,2,0),I436,1),"")</f>
        <v>R</v>
      </c>
      <c r="I436" s="109">
        <v>213</v>
      </c>
      <c r="J436" s="9" t="str">
        <f>IFERROR(MID(VLOOKUP($B436,Seqs!$A:$B,2,0),K436,1),"")</f>
        <v>H</v>
      </c>
      <c r="K436" s="109">
        <v>216</v>
      </c>
      <c r="L436" s="9" t="str">
        <f>IFERROR(MID(VLOOKUP($B436,Seqs!$A:$B,2,0),M436,1),"")</f>
        <v>C</v>
      </c>
      <c r="M436" s="109">
        <v>217</v>
      </c>
      <c r="N436" s="9" t="str">
        <f>IFERROR(MID(VLOOKUP($B436,Seqs!$A:$B,2,0),O436,1),"")</f>
        <v>L</v>
      </c>
      <c r="O436" s="9">
        <v>250</v>
      </c>
      <c r="P436" s="9" t="str">
        <f>IFERROR(MID(VLOOKUP($B436,Seqs!$A:$B,2,0),Q436,1),"")</f>
        <v/>
      </c>
      <c r="Q436" s="9" t="s">
        <v>23</v>
      </c>
      <c r="R436" s="9" t="str">
        <f>IFERROR(MID(VLOOKUP($B436,Seqs!$A:$B,2,0),S436,1),"")</f>
        <v/>
      </c>
      <c r="S436" s="9" t="s">
        <v>23</v>
      </c>
      <c r="T436" s="9" t="str">
        <f>IFERROR(MID(VLOOKUP($B436,Seqs!$A:$B,2,0),U436,1),"")</f>
        <v>T</v>
      </c>
      <c r="U436" s="9">
        <v>273</v>
      </c>
      <c r="V436" s="9" t="str">
        <f>IFERROR(MID(VLOOKUP($B436,Seqs!$A:$B,2,0),W436,1),"")</f>
        <v>F</v>
      </c>
      <c r="W436" s="9">
        <v>311</v>
      </c>
      <c r="X436" s="9" t="str">
        <f>IFERROR(MID(VLOOKUP($B436,Seqs!$A:$B,2,0),Y436,1),"")</f>
        <v/>
      </c>
      <c r="Y436" s="9" t="s">
        <v>23</v>
      </c>
      <c r="Z436" s="9" t="str">
        <f>IFERROR(MID(VLOOKUP($B436,Seqs!$A:$B,2,0),AA436,1),"")</f>
        <v/>
      </c>
      <c r="AA436" s="9" t="s">
        <v>23</v>
      </c>
      <c r="AB436" s="9" t="str">
        <f>IFERROR(MID(VLOOKUP($B436,Seqs!$A:$B,2,0),AC436,1),"")</f>
        <v>S</v>
      </c>
      <c r="AC436" s="9">
        <v>316</v>
      </c>
      <c r="AD436" s="9" t="str">
        <f>IFERROR(MID(VLOOKUP($B436,Seqs!$A:$B,2,0),AE436,1),"")</f>
        <v>A</v>
      </c>
      <c r="AE436" s="9">
        <v>347</v>
      </c>
      <c r="AF436" s="9" t="str">
        <f>IFERROR(MID(VLOOKUP($B436,Seqs!$A:$B,2,0),AG436,1),"")</f>
        <v>C</v>
      </c>
      <c r="AG436" s="9">
        <v>351</v>
      </c>
      <c r="AH436" s="9" t="str">
        <f>IFERROR(MID(VLOOKUP($B436,Seqs!$A:$B,2,0),AI436,1),"")</f>
        <v>D</v>
      </c>
      <c r="AI436" s="9">
        <v>353</v>
      </c>
      <c r="AJ436" s="9" t="str">
        <f>IFERROR(MID(VLOOKUP($B436,Seqs!$A:$B,2,0),AK436,1),"")</f>
        <v>G</v>
      </c>
      <c r="AK436" s="9">
        <v>357</v>
      </c>
      <c r="AL436" s="9" t="str">
        <f>IFERROR(MID(VLOOKUP($B436,Seqs!$A:$B,2,0),AM436,1),"")</f>
        <v>A</v>
      </c>
      <c r="AM436" s="9">
        <v>394</v>
      </c>
      <c r="AN436" s="9" t="str">
        <f>IFERROR(MID(VLOOKUP($B436,Seqs!$A:$B,2,0),AO436,1),"")</f>
        <v>T</v>
      </c>
      <c r="AO436" s="9">
        <v>399</v>
      </c>
      <c r="AP436" s="9" t="str">
        <f>IFERROR(MID(VLOOKUP($B436,Seqs!$A:$B,2,0),AQ436,1),"")</f>
        <v>F</v>
      </c>
      <c r="AQ436" s="9">
        <v>424</v>
      </c>
      <c r="AR436" s="9" t="str">
        <f>IFERROR(MID(VLOOKUP($B436,Seqs!$A:$B,2,0),AS436,1),"")</f>
        <v>G</v>
      </c>
      <c r="AS436" s="9">
        <v>434</v>
      </c>
      <c r="AT436" s="9" t="str">
        <f>IFERROR(MID(VLOOKUP($B436,Seqs!$A:$B,2,0),AU436,1),"")</f>
        <v>C</v>
      </c>
      <c r="AU436" s="9">
        <v>462</v>
      </c>
      <c r="AV436" s="9" t="str">
        <f>IFERROR(MID(VLOOKUP($B436,Seqs!$A:$B,2,0),AW436,1),"")</f>
        <v>N</v>
      </c>
      <c r="AW436" s="9">
        <v>463</v>
      </c>
      <c r="AX436" s="9" t="str">
        <f>IFERROR(MID(VLOOKUP($B436,Seqs!$A:$B,2,0),AY436,1),"")</f>
        <v>D</v>
      </c>
      <c r="AY436" s="9">
        <v>482</v>
      </c>
      <c r="AZ436" s="110" t="str">
        <f>VLOOKUP(B436,Classification!A:D,2,0)</f>
        <v>B1</v>
      </c>
      <c r="BA436" s="98" t="str">
        <f>VLOOKUP(B436,Classification!A:D,4,0)</f>
        <v>Parathyroidhormone</v>
      </c>
      <c r="BB436" s="36" t="b">
        <f t="shared" ref="BB436" si="3970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109">
        <f t="shared" ref="BC436" si="3971">_xlfn.AGGREGATE(9,6,CH436:CS436)-_xlfn.AGGREGATE(9,6,BV436:CG436)+12</f>
        <v>267</v>
      </c>
      <c r="BD436" s="11" t="s">
        <v>1369</v>
      </c>
      <c r="BE436" s="9" t="s">
        <v>1285</v>
      </c>
      <c r="BF436" s="119">
        <v>4</v>
      </c>
      <c r="BG436" s="51" t="s">
        <v>1416</v>
      </c>
      <c r="BH436" s="51" t="s">
        <v>1416</v>
      </c>
      <c r="BJ436" s="111" t="s">
        <v>1281</v>
      </c>
      <c r="BK436" s="112" t="s">
        <v>1281</v>
      </c>
      <c r="BL436" s="112" t="s">
        <v>1281</v>
      </c>
      <c r="BM436" s="112" t="s">
        <v>1281</v>
      </c>
      <c r="BN436" s="112" t="s">
        <v>1281</v>
      </c>
      <c r="BO436" s="112" t="s">
        <v>1281</v>
      </c>
      <c r="BP436" s="112" t="s">
        <v>1281</v>
      </c>
      <c r="BQ436" s="112" t="s">
        <v>1281</v>
      </c>
      <c r="BR436" s="112" t="s">
        <v>1281</v>
      </c>
      <c r="BS436" s="112" t="s">
        <v>1281</v>
      </c>
      <c r="BT436" s="112" t="s">
        <v>1281</v>
      </c>
      <c r="BU436" s="112" t="s">
        <v>1281</v>
      </c>
      <c r="BV436" s="111">
        <f t="shared" ref="BV436" si="3972">E436</f>
        <v>173</v>
      </c>
      <c r="BW436" s="113">
        <f t="shared" ref="BW436" si="3973">I436</f>
        <v>213</v>
      </c>
      <c r="BX436" s="114">
        <f t="shared" ref="BX436" si="3974">M436</f>
        <v>217</v>
      </c>
      <c r="BY436" s="113" t="str">
        <f t="shared" ref="BY436" si="3975">Q436</f>
        <v>-</v>
      </c>
      <c r="BZ436" s="114">
        <f t="shared" ref="BZ436" si="3976">U436</f>
        <v>273</v>
      </c>
      <c r="CA436" s="113" t="str">
        <f t="shared" ref="CA436" si="3977">Y436</f>
        <v>-</v>
      </c>
      <c r="CB436" s="114">
        <f t="shared" ref="CB436" si="3978">AC436</f>
        <v>316</v>
      </c>
      <c r="CC436" s="113">
        <f t="shared" ref="CC436" si="3979">AG436</f>
        <v>351</v>
      </c>
      <c r="CD436" s="114">
        <f t="shared" ref="CD436" si="3980">AK436</f>
        <v>357</v>
      </c>
      <c r="CE436" s="113">
        <f t="shared" ref="CE436" si="3981">AO436</f>
        <v>399</v>
      </c>
      <c r="CF436" s="114">
        <f t="shared" ref="CF436" si="3982">AS436</f>
        <v>434</v>
      </c>
      <c r="CG436" s="113">
        <f t="shared" ref="CG436" si="3983">AW436</f>
        <v>463</v>
      </c>
      <c r="CH436" s="111">
        <f t="shared" ref="CH436" si="3984">G436</f>
        <v>212</v>
      </c>
      <c r="CI436" s="113">
        <f t="shared" ref="CI436" si="3985">K436</f>
        <v>216</v>
      </c>
      <c r="CJ436" s="114">
        <f t="shared" ref="CJ436" si="3986">O436</f>
        <v>250</v>
      </c>
      <c r="CK436" s="114" t="str">
        <f t="shared" ref="CK436" si="3987">S436</f>
        <v>-</v>
      </c>
      <c r="CL436" s="114">
        <f t="shared" ref="CL436" si="3988">W436</f>
        <v>311</v>
      </c>
      <c r="CM436" s="114" t="str">
        <f t="shared" ref="CM436" si="3989">AA436</f>
        <v>-</v>
      </c>
      <c r="CN436" s="114">
        <f t="shared" ref="CN436" si="3990">AE436</f>
        <v>347</v>
      </c>
      <c r="CO436" s="114">
        <f t="shared" ref="CO436" si="3991">AI436</f>
        <v>353</v>
      </c>
      <c r="CP436" s="114">
        <f t="shared" ref="CP436" si="3992">AM436</f>
        <v>394</v>
      </c>
      <c r="CQ436" s="114">
        <f t="shared" ref="CQ436" si="3993">AQ436</f>
        <v>424</v>
      </c>
      <c r="CR436" s="114">
        <f t="shared" ref="CR436" si="3994">AU436</f>
        <v>462</v>
      </c>
      <c r="CS436" s="114">
        <f t="shared" ref="CS436" si="3995">AY436</f>
        <v>482</v>
      </c>
      <c r="CT436" s="109">
        <f t="shared" ref="CT436" si="3996">M436-K436</f>
        <v>1</v>
      </c>
    </row>
    <row r="437" spans="1:1030" x14ac:dyDescent="0.2">
      <c r="A437" s="3" t="str">
        <f t="shared" si="3603"/>
        <v>grm1_human__wt</v>
      </c>
      <c r="B437" s="3" t="s">
        <v>40</v>
      </c>
      <c r="C437" s="3" t="s">
        <v>100</v>
      </c>
      <c r="D437" s="3" t="str">
        <f>IFERROR(MID(VLOOKUP($B437,Seqs!$A:$B,2,0),E437,1),"")</f>
        <v>I</v>
      </c>
      <c r="E437" s="3">
        <v>591</v>
      </c>
      <c r="F437" s="3" t="str">
        <f>IFERROR(MID(VLOOKUP($B437,Seqs!$A:$B,2,0),G437,1),"")</f>
        <v>Y</v>
      </c>
      <c r="G437" s="3">
        <v>617</v>
      </c>
      <c r="H437" s="3" t="str">
        <f>IFERROR(MID(VLOOKUP($B437,Seqs!$A:$B,2,0),I437,1),"")</f>
        <v>T</v>
      </c>
      <c r="I437" s="23">
        <v>620</v>
      </c>
      <c r="J437" s="3" t="str">
        <f>IFERROR(MID(VLOOKUP($B437,Seqs!$A:$B,2,0),K437,1),"")</f>
        <v>S</v>
      </c>
      <c r="K437" s="23">
        <v>626</v>
      </c>
      <c r="L437" s="3" t="str">
        <f>IFERROR(MID(VLOOKUP($B437,Seqs!$A:$B,2,0),M437,1),"")</f>
        <v>S</v>
      </c>
      <c r="M437" s="3">
        <v>627</v>
      </c>
      <c r="N437" s="3" t="str">
        <f>IFERROR(MID(VLOOKUP($B437,Seqs!$A:$B,2,0),O437,1),"")</f>
        <v>I</v>
      </c>
      <c r="O437" s="3">
        <v>649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T</v>
      </c>
      <c r="U437" s="3">
        <v>654</v>
      </c>
      <c r="V437" s="3" t="str">
        <f>IFERROR(MID(VLOOKUP($B437,Seqs!$A:$B,2,0),W437,1),"")</f>
        <v>L</v>
      </c>
      <c r="W437" s="3">
        <v>686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S</v>
      </c>
      <c r="AC437" s="3">
        <v>702</v>
      </c>
      <c r="AD437" s="3" t="str">
        <f>IFERROR(MID(VLOOKUP($B437,Seqs!$A:$B,2,0),AE437,1),"")</f>
        <v>E</v>
      </c>
      <c r="AE437" s="3">
        <v>728</v>
      </c>
      <c r="AF437" s="3" t="str">
        <f>IFERROR(MID(VLOOKUP($B437,Seqs!$A:$B,2,0),AG437,1),"")</f>
        <v>C</v>
      </c>
      <c r="AG437" s="3">
        <v>746</v>
      </c>
      <c r="AH437" s="3" t="str">
        <f>IFERROR(MID(VLOOKUP($B437,Seqs!$A:$B,2,0),AI437,1),"")</f>
        <v>T</v>
      </c>
      <c r="AI437" s="3">
        <v>748</v>
      </c>
      <c r="AJ437" s="3" t="str">
        <f>IFERROR(MID(VLOOKUP($B437,Seqs!$A:$B,2,0),AK437,1),"")</f>
        <v>S</v>
      </c>
      <c r="AK437" s="3">
        <v>749</v>
      </c>
      <c r="AL437" s="3" t="str">
        <f>IFERROR(MID(VLOOKUP($B437,Seqs!$A:$B,2,0),AM437,1),"")</f>
        <v>T</v>
      </c>
      <c r="AM437" s="3">
        <v>774</v>
      </c>
      <c r="AN437" s="3" t="str">
        <f>IFERROR(MID(VLOOKUP($B437,Seqs!$A:$B,2,0),AO437,1),"")</f>
        <v>E</v>
      </c>
      <c r="AO437" s="3">
        <v>783</v>
      </c>
      <c r="AP437" s="3" t="str">
        <f>IFERROR(MID(VLOOKUP($B437,Seqs!$A:$B,2,0),AQ437,1),"")</f>
        <v>G</v>
      </c>
      <c r="AQ437" s="3">
        <v>807</v>
      </c>
      <c r="AR437" s="3" t="str">
        <f>IFERROR(MID(VLOOKUP($B437,Seqs!$A:$B,2,0),AS437,1),"")</f>
        <v>Y</v>
      </c>
      <c r="AS437" s="3">
        <v>810</v>
      </c>
      <c r="AT437" s="3" t="str">
        <f>IFERROR(MID(VLOOKUP($B437,Seqs!$A:$B,2,0),AU437,1),"")</f>
        <v>K</v>
      </c>
      <c r="AU437" s="3">
        <v>841</v>
      </c>
      <c r="AV437" s="3" t="str">
        <f>IFERROR(MID(VLOOKUP($B437,Seqs!$A:$B,2,0),AW437,1),"")</f>
        <v>P</v>
      </c>
      <c r="AW437" s="3">
        <v>842</v>
      </c>
      <c r="AX437" s="3" t="str">
        <f>IFERROR(MID(VLOOKUP($B437,Seqs!$A:$B,2,0),AY437,1),"")</f>
        <v>S</v>
      </c>
      <c r="AY437" s="3">
        <v>853</v>
      </c>
      <c r="AZ437" s="77" t="str">
        <f>VLOOKUP(B437,Classification!A:D,2,0)</f>
        <v>C</v>
      </c>
      <c r="BA437" s="94" t="str">
        <f>VLOOKUP(B437,Classification!A:D,4,0)</f>
        <v>Metabotropicglutamate</v>
      </c>
      <c r="BB437" s="27" t="b">
        <f t="shared" si="3604"/>
        <v>1</v>
      </c>
      <c r="BC437" s="23">
        <f t="shared" si="3549"/>
        <v>217</v>
      </c>
      <c r="BD437" s="56" t="s">
        <v>23</v>
      </c>
      <c r="BE437" s="3" t="s">
        <v>23</v>
      </c>
      <c r="BF437" s="118" t="s">
        <v>23</v>
      </c>
      <c r="BG437" s="49" t="s">
        <v>1366</v>
      </c>
      <c r="BH437" s="49" t="s">
        <v>1371</v>
      </c>
      <c r="BI437" s="3" t="s">
        <v>1157</v>
      </c>
      <c r="BJ437" s="70" t="s">
        <v>1281</v>
      </c>
      <c r="BK437" s="57" t="s">
        <v>1281</v>
      </c>
      <c r="BL437" s="57" t="s">
        <v>1281</v>
      </c>
      <c r="BM437" s="57" t="s">
        <v>1281</v>
      </c>
      <c r="BN437" s="57" t="s">
        <v>1281</v>
      </c>
      <c r="BO437" s="57" t="s">
        <v>1281</v>
      </c>
      <c r="BP437" s="57" t="s">
        <v>1281</v>
      </c>
      <c r="BQ437" s="57" t="s">
        <v>1281</v>
      </c>
      <c r="BR437" s="57" t="s">
        <v>1281</v>
      </c>
      <c r="BS437" s="57" t="s">
        <v>1281</v>
      </c>
      <c r="BT437" s="57" t="s">
        <v>1281</v>
      </c>
      <c r="BU437" s="57" t="s">
        <v>1281</v>
      </c>
      <c r="BV437" s="70">
        <f t="shared" si="3550"/>
        <v>591</v>
      </c>
      <c r="BW437" s="71">
        <f t="shared" si="3551"/>
        <v>620</v>
      </c>
      <c r="BX437" s="72">
        <f t="shared" si="3552"/>
        <v>627</v>
      </c>
      <c r="BY437" s="71" t="str">
        <f t="shared" si="3553"/>
        <v>-</v>
      </c>
      <c r="BZ437" s="72">
        <f t="shared" si="3554"/>
        <v>654</v>
      </c>
      <c r="CA437" s="71" t="str">
        <f t="shared" si="3555"/>
        <v>-</v>
      </c>
      <c r="CB437" s="72">
        <f t="shared" si="3556"/>
        <v>702</v>
      </c>
      <c r="CC437" s="71">
        <f t="shared" si="3557"/>
        <v>746</v>
      </c>
      <c r="CD437" s="72">
        <f t="shared" si="3558"/>
        <v>749</v>
      </c>
      <c r="CE437" s="71">
        <f t="shared" si="3559"/>
        <v>783</v>
      </c>
      <c r="CF437" s="72">
        <f t="shared" si="3560"/>
        <v>810</v>
      </c>
      <c r="CG437" s="71">
        <f t="shared" si="3561"/>
        <v>842</v>
      </c>
      <c r="CH437" s="70">
        <f t="shared" si="3562"/>
        <v>617</v>
      </c>
      <c r="CI437" s="71">
        <f t="shared" si="3563"/>
        <v>626</v>
      </c>
      <c r="CJ437" s="72">
        <f t="shared" si="3564"/>
        <v>649</v>
      </c>
      <c r="CK437" s="72" t="str">
        <f t="shared" si="3565"/>
        <v>-</v>
      </c>
      <c r="CL437" s="72">
        <f t="shared" si="3566"/>
        <v>686</v>
      </c>
      <c r="CM437" s="72" t="str">
        <f t="shared" si="3567"/>
        <v>-</v>
      </c>
      <c r="CN437" s="72">
        <f t="shared" si="3568"/>
        <v>728</v>
      </c>
      <c r="CO437" s="72">
        <f t="shared" si="3569"/>
        <v>748</v>
      </c>
      <c r="CP437" s="72">
        <f t="shared" si="3570"/>
        <v>774</v>
      </c>
      <c r="CQ437" s="72">
        <f t="shared" si="3571"/>
        <v>807</v>
      </c>
      <c r="CR437" s="72">
        <f t="shared" si="3572"/>
        <v>841</v>
      </c>
      <c r="CS437" s="72">
        <f t="shared" si="3573"/>
        <v>853</v>
      </c>
      <c r="CT437" s="23">
        <f t="shared" si="3574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30" x14ac:dyDescent="0.2">
      <c r="A438" s="3" t="str">
        <f t="shared" si="3603"/>
        <v>grm1_human_4OR2</v>
      </c>
      <c r="B438" s="3" t="s">
        <v>40</v>
      </c>
      <c r="C438" s="3" t="s">
        <v>96</v>
      </c>
      <c r="D438" s="3" t="str">
        <f>IFERROR(MID(VLOOKUP($B438,Seqs!$A:$B,2,0),E438,1),"")</f>
        <v>I</v>
      </c>
      <c r="E438" s="3">
        <v>591</v>
      </c>
      <c r="F438" s="3" t="str">
        <f>IFERROR(MID(VLOOKUP($B438,Seqs!$A:$B,2,0),G438,1),"")</f>
        <v>Y</v>
      </c>
      <c r="G438" s="3">
        <v>617</v>
      </c>
      <c r="H438" s="3" t="str">
        <f>IFERROR(MID(VLOOKUP($B438,Seqs!$A:$B,2,0),I438,1),"")</f>
        <v>T</v>
      </c>
      <c r="I438" s="23">
        <v>620</v>
      </c>
      <c r="J438" s="3" t="str">
        <f>IFERROR(MID(VLOOKUP($B438,Seqs!$A:$B,2,0),K438,1),"")</f>
        <v>S</v>
      </c>
      <c r="K438" s="23">
        <v>626</v>
      </c>
      <c r="L438" s="3" t="str">
        <f>IFERROR(MID(VLOOKUP($B438,Seqs!$A:$B,2,0),M438,1),"")</f>
        <v>S</v>
      </c>
      <c r="M438" s="3">
        <v>627</v>
      </c>
      <c r="N438" s="3" t="str">
        <f>IFERROR(MID(VLOOKUP($B438,Seqs!$A:$B,2,0),O438,1),"")</f>
        <v>I</v>
      </c>
      <c r="O438" s="3">
        <v>649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T</v>
      </c>
      <c r="U438" s="3">
        <v>654</v>
      </c>
      <c r="V438" s="3" t="str">
        <f>IFERROR(MID(VLOOKUP($B438,Seqs!$A:$B,2,0),W438,1),"")</f>
        <v>L</v>
      </c>
      <c r="W438" s="3">
        <v>686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S</v>
      </c>
      <c r="AC438" s="9">
        <v>702</v>
      </c>
      <c r="AD438" s="3" t="str">
        <f>IFERROR(MID(VLOOKUP($B438,Seqs!$A:$B,2,0),AE438,1),"")</f>
        <v>E</v>
      </c>
      <c r="AE438" s="3">
        <v>728</v>
      </c>
      <c r="AF438" s="3" t="str">
        <f>IFERROR(MID(VLOOKUP($B438,Seqs!$A:$B,2,0),AG438,1),"")</f>
        <v>C</v>
      </c>
      <c r="AG438" s="3">
        <v>746</v>
      </c>
      <c r="AH438" s="3" t="str">
        <f>IFERROR(MID(VLOOKUP($B438,Seqs!$A:$B,2,0),AI438,1),"")</f>
        <v>T</v>
      </c>
      <c r="AI438" s="3">
        <v>748</v>
      </c>
      <c r="AJ438" s="3" t="str">
        <f>IFERROR(MID(VLOOKUP($B438,Seqs!$A:$B,2,0),AK438,1),"")</f>
        <v>S</v>
      </c>
      <c r="AK438" s="105">
        <v>749</v>
      </c>
      <c r="AL438" s="3" t="str">
        <f>IFERROR(MID(VLOOKUP($B438,Seqs!$A:$B,2,0),AM438,1),"")</f>
        <v>T</v>
      </c>
      <c r="AM438" s="3">
        <v>774</v>
      </c>
      <c r="AN438" s="3" t="str">
        <f>IFERROR(MID(VLOOKUP($B438,Seqs!$A:$B,2,0),AO438,1),"")</f>
        <v>E</v>
      </c>
      <c r="AO438" s="3">
        <v>783</v>
      </c>
      <c r="AP438" s="3" t="str">
        <f>IFERROR(MID(VLOOKUP($B438,Seqs!$A:$B,2,0),AQ438,1),"")</f>
        <v>G</v>
      </c>
      <c r="AQ438" s="3">
        <v>807</v>
      </c>
      <c r="AR438" s="3" t="str">
        <f>IFERROR(MID(VLOOKUP($B438,Seqs!$A:$B,2,0),AS438,1),"")</f>
        <v>Y</v>
      </c>
      <c r="AS438" s="105">
        <v>810</v>
      </c>
      <c r="AT438" s="3" t="str">
        <f>IFERROR(MID(VLOOKUP($B438,Seqs!$A:$B,2,0),AU438,1),"")</f>
        <v>K</v>
      </c>
      <c r="AU438" s="3">
        <v>841</v>
      </c>
      <c r="AV438" s="3" t="str">
        <f>IFERROR(MID(VLOOKUP($B438,Seqs!$A:$B,2,0),AW438,1),"")</f>
        <v/>
      </c>
      <c r="AW438" s="3" t="s">
        <v>23</v>
      </c>
      <c r="AX438" s="3" t="str">
        <f>IFERROR(MID(VLOOKUP($B438,Seqs!$A:$B,2,0),AY438,1),"")</f>
        <v/>
      </c>
      <c r="AY438" s="3" t="s">
        <v>23</v>
      </c>
      <c r="AZ438" s="77" t="str">
        <f>VLOOKUP(B438,Classification!A:D,2,0)</f>
        <v>C</v>
      </c>
      <c r="BA438" s="94" t="str">
        <f>VLOOKUP(B438,Classification!A:D,4,0)</f>
        <v>Metabotropicglutamate</v>
      </c>
      <c r="BB438" s="27" t="b">
        <f t="shared" si="3604"/>
        <v>1</v>
      </c>
      <c r="BC438" s="23">
        <f t="shared" si="3549"/>
        <v>206</v>
      </c>
      <c r="BD438" s="2" t="s">
        <v>1370</v>
      </c>
      <c r="BE438" s="3" t="s">
        <v>1368</v>
      </c>
      <c r="BF438" s="118">
        <v>2.8</v>
      </c>
      <c r="BG438" s="49" t="s">
        <v>1371</v>
      </c>
      <c r="BH438" s="49" t="s">
        <v>1371</v>
      </c>
      <c r="BJ438" s="70" t="s">
        <v>1281</v>
      </c>
      <c r="BK438" s="57" t="s">
        <v>1281</v>
      </c>
      <c r="BL438" s="57" t="s">
        <v>1281</v>
      </c>
      <c r="BM438" s="57" t="s">
        <v>1281</v>
      </c>
      <c r="BN438" s="57" t="s">
        <v>1281</v>
      </c>
      <c r="BO438" s="57" t="s">
        <v>1281</v>
      </c>
      <c r="BP438" s="57" t="s">
        <v>1281</v>
      </c>
      <c r="BQ438" s="57" t="s">
        <v>1281</v>
      </c>
      <c r="BR438" s="57" t="s">
        <v>1281</v>
      </c>
      <c r="BS438" s="57" t="s">
        <v>1281</v>
      </c>
      <c r="BT438" s="57" t="s">
        <v>1281</v>
      </c>
      <c r="BU438" s="57" t="s">
        <v>1281</v>
      </c>
      <c r="BV438" s="70">
        <f t="shared" si="3550"/>
        <v>591</v>
      </c>
      <c r="BW438" s="71">
        <f t="shared" si="3551"/>
        <v>620</v>
      </c>
      <c r="BX438" s="72">
        <f t="shared" si="3552"/>
        <v>627</v>
      </c>
      <c r="BY438" s="71" t="str">
        <f t="shared" si="3553"/>
        <v>-</v>
      </c>
      <c r="BZ438" s="72">
        <f t="shared" si="3554"/>
        <v>654</v>
      </c>
      <c r="CA438" s="71" t="str">
        <f t="shared" si="3555"/>
        <v>-</v>
      </c>
      <c r="CB438" s="72">
        <f t="shared" si="3556"/>
        <v>702</v>
      </c>
      <c r="CC438" s="71">
        <f t="shared" si="3557"/>
        <v>746</v>
      </c>
      <c r="CD438" s="72">
        <f t="shared" si="3558"/>
        <v>749</v>
      </c>
      <c r="CE438" s="71">
        <f t="shared" si="3559"/>
        <v>783</v>
      </c>
      <c r="CF438" s="72">
        <f t="shared" si="3560"/>
        <v>810</v>
      </c>
      <c r="CG438" s="71" t="str">
        <f t="shared" si="3561"/>
        <v>-</v>
      </c>
      <c r="CH438" s="70">
        <f t="shared" si="3562"/>
        <v>617</v>
      </c>
      <c r="CI438" s="71">
        <f t="shared" si="3563"/>
        <v>626</v>
      </c>
      <c r="CJ438" s="72">
        <f t="shared" si="3564"/>
        <v>649</v>
      </c>
      <c r="CK438" s="72" t="str">
        <f t="shared" si="3565"/>
        <v>-</v>
      </c>
      <c r="CL438" s="72">
        <f t="shared" si="3566"/>
        <v>686</v>
      </c>
      <c r="CM438" s="72" t="str">
        <f t="shared" si="3567"/>
        <v>-</v>
      </c>
      <c r="CN438" s="72">
        <f t="shared" si="3568"/>
        <v>728</v>
      </c>
      <c r="CO438" s="72">
        <f t="shared" si="3569"/>
        <v>748</v>
      </c>
      <c r="CP438" s="72">
        <f t="shared" si="3570"/>
        <v>774</v>
      </c>
      <c r="CQ438" s="72">
        <f t="shared" si="3571"/>
        <v>807</v>
      </c>
      <c r="CR438" s="72">
        <f t="shared" si="3572"/>
        <v>841</v>
      </c>
      <c r="CS438" s="72" t="str">
        <f t="shared" si="3573"/>
        <v>-</v>
      </c>
      <c r="CT438" s="23">
        <f t="shared" si="3574"/>
        <v>1</v>
      </c>
    </row>
    <row r="439" spans="1:1030" x14ac:dyDescent="0.2">
      <c r="A439" s="3" t="str">
        <f t="shared" si="3603"/>
        <v>grm5_human__wt</v>
      </c>
      <c r="B439" s="3" t="s">
        <v>41</v>
      </c>
      <c r="C439" s="3" t="s">
        <v>100</v>
      </c>
      <c r="D439" s="3" t="str">
        <f>IFERROR(MID(VLOOKUP($B439,Seqs!$A:$B,2,0),E439,1),"")</f>
        <v>P</v>
      </c>
      <c r="E439" s="3">
        <v>578</v>
      </c>
      <c r="F439" s="3" t="str">
        <f>IFERROR(MID(VLOOKUP($B439,Seqs!$A:$B,2,0),G439,1),"")</f>
        <v>Y</v>
      </c>
      <c r="G439" s="3">
        <v>604</v>
      </c>
      <c r="H439" s="3" t="str">
        <f>IFERROR(MID(VLOOKUP($B439,Seqs!$A:$B,2,0),I439,1),"")</f>
        <v>T</v>
      </c>
      <c r="I439" s="23">
        <v>607</v>
      </c>
      <c r="J439" s="3" t="str">
        <f>IFERROR(MID(VLOOKUP($B439,Seqs!$A:$B,2,0),K439,1),"")</f>
        <v>S</v>
      </c>
      <c r="K439" s="23">
        <v>613</v>
      </c>
      <c r="L439" s="3" t="str">
        <f>IFERROR(MID(VLOOKUP($B439,Seqs!$A:$B,2,0),M439,1),"")</f>
        <v>S</v>
      </c>
      <c r="M439" s="3">
        <v>614</v>
      </c>
      <c r="N439" s="3" t="str">
        <f>IFERROR(MID(VLOOKUP($B439,Seqs!$A:$B,2,0),O439,1),"")</f>
        <v>I</v>
      </c>
      <c r="O439" s="3">
        <v>636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K</v>
      </c>
      <c r="U439" s="105">
        <v>640</v>
      </c>
      <c r="V439" s="3" t="str">
        <f>IFERROR(MID(VLOOKUP($B439,Seqs!$A:$B,2,0),W439,1),"")</f>
        <v>L</v>
      </c>
      <c r="W439" s="3">
        <v>673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689</v>
      </c>
      <c r="AD439" s="3" t="str">
        <f>IFERROR(MID(VLOOKUP($B439,Seqs!$A:$B,2,0),AE439,1),"")</f>
        <v>E</v>
      </c>
      <c r="AE439" s="3">
        <v>715</v>
      </c>
      <c r="AF439" s="3" t="str">
        <f>IFERROR(MID(VLOOKUP($B439,Seqs!$A:$B,2,0),AG439,1),"")</f>
        <v>C</v>
      </c>
      <c r="AG439" s="3">
        <v>733</v>
      </c>
      <c r="AH439" s="3" t="str">
        <f>IFERROR(MID(VLOOKUP($B439,Seqs!$A:$B,2,0),AI439,1),"")</f>
        <v>T</v>
      </c>
      <c r="AI439" s="3">
        <v>735</v>
      </c>
      <c r="AJ439" s="3" t="str">
        <f>IFERROR(MID(VLOOKUP($B439,Seqs!$A:$B,2,0),AK439,1),"")</f>
        <v>T</v>
      </c>
      <c r="AK439" s="105">
        <v>736</v>
      </c>
      <c r="AL439" s="3" t="str">
        <f>IFERROR(MID(VLOOKUP($B439,Seqs!$A:$B,2,0),AM439,1),"")</f>
        <v>T</v>
      </c>
      <c r="AM439" s="3">
        <v>761</v>
      </c>
      <c r="AN439" s="3" t="str">
        <f>IFERROR(MID(VLOOKUP($B439,Seqs!$A:$B,2,0),AO439,1),"")</f>
        <v>E</v>
      </c>
      <c r="AO439" s="3">
        <v>770</v>
      </c>
      <c r="AP439" s="3" t="str">
        <f>IFERROR(MID(VLOOKUP($B439,Seqs!$A:$B,2,0),AQ439,1),"")</f>
        <v>G</v>
      </c>
      <c r="AQ439" s="3">
        <v>794</v>
      </c>
      <c r="AR439" s="3" t="str">
        <f>IFERROR(MID(VLOOKUP($B439,Seqs!$A:$B,2,0),AS439,1),"")</f>
        <v>Y</v>
      </c>
      <c r="AS439" s="105">
        <v>797</v>
      </c>
      <c r="AT439" s="3" t="str">
        <f>IFERROR(MID(VLOOKUP($B439,Seqs!$A:$B,2,0),AU439,1),"")</f>
        <v>K</v>
      </c>
      <c r="AU439" s="3">
        <v>828</v>
      </c>
      <c r="AV439" s="3" t="str">
        <f>IFERROR(MID(VLOOKUP($B439,Seqs!$A:$B,2,0),AW439,1),"")</f>
        <v>P</v>
      </c>
      <c r="AW439" s="3">
        <v>829</v>
      </c>
      <c r="AX439" s="3" t="str">
        <f>IFERROR(MID(VLOOKUP($B439,Seqs!$A:$B,2,0),AY439,1),"")</f>
        <v>S</v>
      </c>
      <c r="AY439" s="3">
        <v>840</v>
      </c>
      <c r="AZ439" s="77" t="str">
        <f>VLOOKUP(B439,Classification!A:D,2,0)</f>
        <v>C</v>
      </c>
      <c r="BA439" s="94" t="str">
        <f>VLOOKUP(B439,Classification!A:D,4,0)</f>
        <v>Metabotropicglutamate</v>
      </c>
      <c r="BB439" s="27" t="b">
        <f t="shared" si="3604"/>
        <v>1</v>
      </c>
      <c r="BC439" s="23">
        <f t="shared" si="3549"/>
        <v>218</v>
      </c>
      <c r="BD439" s="56" t="s">
        <v>23</v>
      </c>
      <c r="BE439" s="3" t="s">
        <v>23</v>
      </c>
      <c r="BF439" s="118" t="s">
        <v>23</v>
      </c>
      <c r="BG439" s="49" t="s">
        <v>1366</v>
      </c>
      <c r="BH439" s="49" t="s">
        <v>1371</v>
      </c>
      <c r="BJ439" s="70" t="s">
        <v>1281</v>
      </c>
      <c r="BK439" s="57" t="s">
        <v>1281</v>
      </c>
      <c r="BL439" s="57" t="s">
        <v>1281</v>
      </c>
      <c r="BM439" s="57" t="s">
        <v>1281</v>
      </c>
      <c r="BN439" s="57" t="s">
        <v>1281</v>
      </c>
      <c r="BO439" s="57" t="s">
        <v>1281</v>
      </c>
      <c r="BP439" s="57" t="s">
        <v>1281</v>
      </c>
      <c r="BQ439" s="57" t="s">
        <v>1281</v>
      </c>
      <c r="BR439" s="57" t="s">
        <v>1281</v>
      </c>
      <c r="BS439" s="57" t="s">
        <v>1281</v>
      </c>
      <c r="BT439" s="57" t="s">
        <v>1281</v>
      </c>
      <c r="BU439" s="57" t="s">
        <v>1281</v>
      </c>
      <c r="BV439" s="70">
        <f t="shared" si="3550"/>
        <v>578</v>
      </c>
      <c r="BW439" s="71">
        <f t="shared" si="3551"/>
        <v>607</v>
      </c>
      <c r="BX439" s="72">
        <f t="shared" si="3552"/>
        <v>614</v>
      </c>
      <c r="BY439" s="71" t="str">
        <f t="shared" si="3553"/>
        <v>-</v>
      </c>
      <c r="BZ439" s="72">
        <f t="shared" si="3554"/>
        <v>640</v>
      </c>
      <c r="CA439" s="71" t="str">
        <f t="shared" si="3555"/>
        <v>-</v>
      </c>
      <c r="CB439" s="72">
        <f t="shared" si="3556"/>
        <v>689</v>
      </c>
      <c r="CC439" s="71">
        <f t="shared" si="3557"/>
        <v>733</v>
      </c>
      <c r="CD439" s="72">
        <f t="shared" si="3558"/>
        <v>736</v>
      </c>
      <c r="CE439" s="71">
        <f t="shared" si="3559"/>
        <v>770</v>
      </c>
      <c r="CF439" s="72">
        <f t="shared" si="3560"/>
        <v>797</v>
      </c>
      <c r="CG439" s="71">
        <f t="shared" si="3561"/>
        <v>829</v>
      </c>
      <c r="CH439" s="70">
        <f t="shared" si="3562"/>
        <v>604</v>
      </c>
      <c r="CI439" s="71">
        <f t="shared" si="3563"/>
        <v>613</v>
      </c>
      <c r="CJ439" s="72">
        <f t="shared" si="3564"/>
        <v>636</v>
      </c>
      <c r="CK439" s="72" t="str">
        <f t="shared" si="3565"/>
        <v>-</v>
      </c>
      <c r="CL439" s="72">
        <f t="shared" si="3566"/>
        <v>673</v>
      </c>
      <c r="CM439" s="72" t="str">
        <f t="shared" si="3567"/>
        <v>-</v>
      </c>
      <c r="CN439" s="72">
        <f t="shared" si="3568"/>
        <v>715</v>
      </c>
      <c r="CO439" s="72">
        <f t="shared" si="3569"/>
        <v>735</v>
      </c>
      <c r="CP439" s="72">
        <f t="shared" si="3570"/>
        <v>761</v>
      </c>
      <c r="CQ439" s="72">
        <f t="shared" si="3571"/>
        <v>794</v>
      </c>
      <c r="CR439" s="72">
        <f t="shared" si="3572"/>
        <v>828</v>
      </c>
      <c r="CS439" s="72">
        <f t="shared" si="3573"/>
        <v>840</v>
      </c>
      <c r="CT439" s="23">
        <f t="shared" si="3574"/>
        <v>1</v>
      </c>
    </row>
    <row r="440" spans="1:1030" x14ac:dyDescent="0.2">
      <c r="A440" s="3" t="str">
        <f t="shared" si="3603"/>
        <v>grm5_human_4OO9</v>
      </c>
      <c r="B440" s="3" t="s">
        <v>41</v>
      </c>
      <c r="C440" s="3" t="s">
        <v>57</v>
      </c>
      <c r="D440" s="3" t="str">
        <f>IFERROR(MID(VLOOKUP($B440,Seqs!$A:$B,2,0),E440,1),"")</f>
        <v>P</v>
      </c>
      <c r="E440" s="3">
        <v>578</v>
      </c>
      <c r="F440" s="3" t="str">
        <f>IFERROR(MID(VLOOKUP($B440,Seqs!$A:$B,2,0),G440,1),"")</f>
        <v>Y</v>
      </c>
      <c r="G440" s="3">
        <v>604</v>
      </c>
      <c r="H440" s="3" t="str">
        <f>IFERROR(MID(VLOOKUP($B440,Seqs!$A:$B,2,0),I440,1),"")</f>
        <v>T</v>
      </c>
      <c r="I440" s="23">
        <v>607</v>
      </c>
      <c r="J440" s="3" t="str">
        <f>IFERROR(MID(VLOOKUP($B440,Seqs!$A:$B,2,0),K440,1),"")</f>
        <v>S</v>
      </c>
      <c r="K440" s="23">
        <v>613</v>
      </c>
      <c r="L440" s="3" t="str">
        <f>IFERROR(MID(VLOOKUP($B440,Seqs!$A:$B,2,0),M440,1),"")</f>
        <v>S</v>
      </c>
      <c r="M440" s="3">
        <v>614</v>
      </c>
      <c r="N440" s="3" t="str">
        <f>IFERROR(MID(VLOOKUP($B440,Seqs!$A:$B,2,0),O440,1),"")</f>
        <v>I</v>
      </c>
      <c r="O440" s="3">
        <v>636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Q</v>
      </c>
      <c r="U440" s="3">
        <v>641</v>
      </c>
      <c r="V440" s="3" t="str">
        <f>IFERROR(MID(VLOOKUP($B440,Seqs!$A:$B,2,0),W440,1),"")</f>
        <v>K</v>
      </c>
      <c r="W440" s="3">
        <v>678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S</v>
      </c>
      <c r="AC440" s="9">
        <v>689</v>
      </c>
      <c r="AD440" s="3" t="str">
        <f>IFERROR(MID(VLOOKUP($B440,Seqs!$A:$B,2,0),AE440,1),"")</f>
        <v>E</v>
      </c>
      <c r="AE440" s="3">
        <v>715</v>
      </c>
      <c r="AF440" s="3" t="str">
        <f>IFERROR(MID(VLOOKUP($B440,Seqs!$A:$B,2,0),AG440,1),"")</f>
        <v>C</v>
      </c>
      <c r="AG440" s="3">
        <v>733</v>
      </c>
      <c r="AH440" s="3" t="str">
        <f>IFERROR(MID(VLOOKUP($B440,Seqs!$A:$B,2,0),AI440,1),"")</f>
        <v>T</v>
      </c>
      <c r="AI440" s="3">
        <v>735</v>
      </c>
      <c r="AJ440" s="3" t="str">
        <f>IFERROR(MID(VLOOKUP($B440,Seqs!$A:$B,2,0),AK440,1),"")</f>
        <v>N</v>
      </c>
      <c r="AK440" s="3">
        <v>737</v>
      </c>
      <c r="AL440" s="3" t="str">
        <f>IFERROR(MID(VLOOKUP($B440,Seqs!$A:$B,2,0),AM440,1),"")</f>
        <v>T</v>
      </c>
      <c r="AM440" s="3">
        <v>761</v>
      </c>
      <c r="AN440" s="3" t="str">
        <f>IFERROR(MID(VLOOKUP($B440,Seqs!$A:$B,2,0),AO440,1),"")</f>
        <v>E</v>
      </c>
      <c r="AO440" s="3">
        <v>770</v>
      </c>
      <c r="AP440" s="3" t="str">
        <f>IFERROR(MID(VLOOKUP($B440,Seqs!$A:$B,2,0),AQ440,1),"")</f>
        <v>G</v>
      </c>
      <c r="AQ440" s="3">
        <v>794</v>
      </c>
      <c r="AR440" s="3" t="str">
        <f>IFERROR(MID(VLOOKUP($B440,Seqs!$A:$B,2,0),AS440,1),"")</f>
        <v>Y</v>
      </c>
      <c r="AS440" s="105">
        <v>797</v>
      </c>
      <c r="AT440" s="3" t="str">
        <f>IFERROR(MID(VLOOKUP($B440,Seqs!$A:$B,2,0),AU440,1),"")</f>
        <v>K</v>
      </c>
      <c r="AU440" s="3">
        <v>828</v>
      </c>
      <c r="AV440" s="3" t="str">
        <f>IFERROR(MID(VLOOKUP($B440,Seqs!$A:$B,2,0),AW440,1),"")</f>
        <v>P</v>
      </c>
      <c r="AW440" s="3">
        <v>829</v>
      </c>
      <c r="AX440" s="3" t="str">
        <f>IFERROR(MID(VLOOKUP($B440,Seqs!$A:$B,2,0),AY440,1),"")</f>
        <v>N</v>
      </c>
      <c r="AY440" s="3">
        <v>832</v>
      </c>
      <c r="AZ440" s="77" t="str">
        <f>VLOOKUP(B440,Classification!A:D,2,0)</f>
        <v>C</v>
      </c>
      <c r="BA440" s="94" t="str">
        <f>VLOOKUP(B440,Classification!A:D,4,0)</f>
        <v>Metabotropicglutamate</v>
      </c>
      <c r="BB440" s="27" t="b">
        <f t="shared" si="3604"/>
        <v>1</v>
      </c>
      <c r="BC440" s="23">
        <f t="shared" si="3549"/>
        <v>213</v>
      </c>
      <c r="BD440" s="106" t="s">
        <v>1370</v>
      </c>
      <c r="BE440" s="3" t="s">
        <v>1368</v>
      </c>
      <c r="BF440" s="118">
        <v>2.6</v>
      </c>
      <c r="BG440" s="49" t="s">
        <v>1371</v>
      </c>
      <c r="BH440" s="49" t="s">
        <v>1371</v>
      </c>
      <c r="BJ440" s="70" t="s">
        <v>1281</v>
      </c>
      <c r="BK440" s="57" t="s">
        <v>1281</v>
      </c>
      <c r="BL440" s="57" t="s">
        <v>1281</v>
      </c>
      <c r="BM440" s="57" t="s">
        <v>1281</v>
      </c>
      <c r="BN440" s="57" t="s">
        <v>1281</v>
      </c>
      <c r="BO440" s="57" t="s">
        <v>1281</v>
      </c>
      <c r="BP440" s="57" t="s">
        <v>1281</v>
      </c>
      <c r="BQ440" s="57" t="s">
        <v>1281</v>
      </c>
      <c r="BR440" s="57" t="s">
        <v>1281</v>
      </c>
      <c r="BS440" s="57" t="s">
        <v>1281</v>
      </c>
      <c r="BT440" s="57" t="s">
        <v>1281</v>
      </c>
      <c r="BU440" s="57" t="s">
        <v>1281</v>
      </c>
      <c r="BV440" s="70">
        <f t="shared" si="3550"/>
        <v>578</v>
      </c>
      <c r="BW440" s="71">
        <f t="shared" si="3551"/>
        <v>607</v>
      </c>
      <c r="BX440" s="72">
        <f t="shared" si="3552"/>
        <v>614</v>
      </c>
      <c r="BY440" s="71" t="str">
        <f t="shared" si="3553"/>
        <v>-</v>
      </c>
      <c r="BZ440" s="72">
        <f t="shared" si="3554"/>
        <v>641</v>
      </c>
      <c r="CA440" s="71" t="str">
        <f t="shared" si="3555"/>
        <v>-</v>
      </c>
      <c r="CB440" s="72">
        <f t="shared" si="3556"/>
        <v>689</v>
      </c>
      <c r="CC440" s="71">
        <f t="shared" si="3557"/>
        <v>733</v>
      </c>
      <c r="CD440" s="72">
        <f t="shared" si="3558"/>
        <v>737</v>
      </c>
      <c r="CE440" s="71">
        <f t="shared" si="3559"/>
        <v>770</v>
      </c>
      <c r="CF440" s="72">
        <f t="shared" si="3560"/>
        <v>797</v>
      </c>
      <c r="CG440" s="71">
        <f t="shared" si="3561"/>
        <v>829</v>
      </c>
      <c r="CH440" s="70">
        <f t="shared" si="3562"/>
        <v>604</v>
      </c>
      <c r="CI440" s="71">
        <f t="shared" si="3563"/>
        <v>613</v>
      </c>
      <c r="CJ440" s="72">
        <f t="shared" si="3564"/>
        <v>636</v>
      </c>
      <c r="CK440" s="72" t="str">
        <f t="shared" si="3565"/>
        <v>-</v>
      </c>
      <c r="CL440" s="72">
        <f t="shared" si="3566"/>
        <v>678</v>
      </c>
      <c r="CM440" s="72" t="str">
        <f t="shared" si="3567"/>
        <v>-</v>
      </c>
      <c r="CN440" s="72">
        <f t="shared" si="3568"/>
        <v>715</v>
      </c>
      <c r="CO440" s="72">
        <f t="shared" si="3569"/>
        <v>735</v>
      </c>
      <c r="CP440" s="72">
        <f t="shared" si="3570"/>
        <v>761</v>
      </c>
      <c r="CQ440" s="72">
        <f t="shared" si="3571"/>
        <v>794</v>
      </c>
      <c r="CR440" s="72">
        <f t="shared" si="3572"/>
        <v>828</v>
      </c>
      <c r="CS440" s="72">
        <f t="shared" si="3573"/>
        <v>832</v>
      </c>
      <c r="CT440" s="23">
        <f t="shared" si="3574"/>
        <v>1</v>
      </c>
    </row>
    <row r="441" spans="1:1030" x14ac:dyDescent="0.2">
      <c r="A441" s="3" t="str">
        <f t="shared" si="3603"/>
        <v>grm5_human_5CGC</v>
      </c>
      <c r="B441" s="3" t="s">
        <v>41</v>
      </c>
      <c r="C441" s="3" t="s">
        <v>58</v>
      </c>
      <c r="D441" s="3" t="str">
        <f>IFERROR(MID(VLOOKUP($B441,Seqs!$A:$B,2,0),E441,1),"")</f>
        <v>P</v>
      </c>
      <c r="E441" s="3">
        <v>578</v>
      </c>
      <c r="F441" s="3" t="str">
        <f>IFERROR(MID(VLOOKUP($B441,Seqs!$A:$B,2,0),G441,1),"")</f>
        <v>Y</v>
      </c>
      <c r="G441" s="3">
        <v>604</v>
      </c>
      <c r="H441" s="3" t="str">
        <f>IFERROR(MID(VLOOKUP($B441,Seqs!$A:$B,2,0),I441,1),"")</f>
        <v>T</v>
      </c>
      <c r="I441" s="23">
        <v>607</v>
      </c>
      <c r="J441" s="3" t="str">
        <f>IFERROR(MID(VLOOKUP($B441,Seqs!$A:$B,2,0),K441,1),"")</f>
        <v>S</v>
      </c>
      <c r="K441" s="23">
        <v>613</v>
      </c>
      <c r="L441" s="3" t="str">
        <f>IFERROR(MID(VLOOKUP($B441,Seqs!$A:$B,2,0),M441,1),"")</f>
        <v>S</v>
      </c>
      <c r="M441" s="3">
        <v>614</v>
      </c>
      <c r="N441" s="3" t="str">
        <f>IFERROR(MID(VLOOKUP($B441,Seqs!$A:$B,2,0),O441,1),"")</f>
        <v>I</v>
      </c>
      <c r="O441" s="3">
        <v>636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K</v>
      </c>
      <c r="U441" s="105">
        <v>640</v>
      </c>
      <c r="V441" s="3" t="str">
        <f>IFERROR(MID(VLOOKUP($B441,Seqs!$A:$B,2,0),W441,1),"")</f>
        <v>K</v>
      </c>
      <c r="W441" s="3">
        <v>678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689</v>
      </c>
      <c r="AD441" s="3" t="str">
        <f>IFERROR(MID(VLOOKUP($B441,Seqs!$A:$B,2,0),AE441,1),"")</f>
        <v>E</v>
      </c>
      <c r="AE441" s="3">
        <v>715</v>
      </c>
      <c r="AF441" s="3" t="str">
        <f>IFERROR(MID(VLOOKUP($B441,Seqs!$A:$B,2,0),AG441,1),"")</f>
        <v>C</v>
      </c>
      <c r="AG441" s="3">
        <v>733</v>
      </c>
      <c r="AH441" s="3" t="str">
        <f>IFERROR(MID(VLOOKUP($B441,Seqs!$A:$B,2,0),AI441,1),"")</f>
        <v>T</v>
      </c>
      <c r="AI441" s="3">
        <v>735</v>
      </c>
      <c r="AJ441" s="3" t="str">
        <f>IFERROR(MID(VLOOKUP($B441,Seqs!$A:$B,2,0),AK441,1),"")</f>
        <v>N</v>
      </c>
      <c r="AK441" s="3">
        <v>737</v>
      </c>
      <c r="AL441" s="3" t="str">
        <f>IFERROR(MID(VLOOKUP($B441,Seqs!$A:$B,2,0),AM441,1),"")</f>
        <v>T</v>
      </c>
      <c r="AM441" s="3">
        <v>761</v>
      </c>
      <c r="AN441" s="3" t="str">
        <f>IFERROR(MID(VLOOKUP($B441,Seqs!$A:$B,2,0),AO441,1),"")</f>
        <v>E</v>
      </c>
      <c r="AO441" s="3">
        <v>770</v>
      </c>
      <c r="AP441" s="3" t="str">
        <f>IFERROR(MID(VLOOKUP($B441,Seqs!$A:$B,2,0),AQ441,1),"")</f>
        <v>G</v>
      </c>
      <c r="AQ441" s="3">
        <v>794</v>
      </c>
      <c r="AR441" s="3" t="str">
        <f>IFERROR(MID(VLOOKUP($B441,Seqs!$A:$B,2,0),AS441,1),"")</f>
        <v>Y</v>
      </c>
      <c r="AS441" s="105">
        <v>797</v>
      </c>
      <c r="AT441" s="3" t="str">
        <f>IFERROR(MID(VLOOKUP($B441,Seqs!$A:$B,2,0),AU441,1),"")</f>
        <v>K</v>
      </c>
      <c r="AU441" s="3">
        <v>828</v>
      </c>
      <c r="AV441" s="3" t="str">
        <f>IFERROR(MID(VLOOKUP($B441,Seqs!$A:$B,2,0),AW441,1),"")</f>
        <v>P</v>
      </c>
      <c r="AW441" s="3">
        <v>829</v>
      </c>
      <c r="AX441" s="3" t="str">
        <f>IFERROR(MID(VLOOKUP($B441,Seqs!$A:$B,2,0),AY441,1),"")</f>
        <v>N</v>
      </c>
      <c r="AY441" s="3">
        <v>832</v>
      </c>
      <c r="AZ441" s="77" t="str">
        <f>VLOOKUP(B441,Classification!A:D,2,0)</f>
        <v>C</v>
      </c>
      <c r="BA441" s="94" t="str">
        <f>VLOOKUP(B441,Classification!A:D,4,0)</f>
        <v>Metabotropicglutamate</v>
      </c>
      <c r="BB441" s="27" t="b">
        <f t="shared" si="3604"/>
        <v>1</v>
      </c>
      <c r="BC441" s="23">
        <f t="shared" si="3549"/>
        <v>214</v>
      </c>
      <c r="BD441" s="4" t="s">
        <v>23</v>
      </c>
      <c r="BE441" s="3" t="s">
        <v>1368</v>
      </c>
      <c r="BF441" s="118">
        <v>3.1</v>
      </c>
      <c r="BG441" s="49" t="s">
        <v>1371</v>
      </c>
      <c r="BH441" s="49" t="s">
        <v>1371</v>
      </c>
      <c r="BJ441" s="70" t="s">
        <v>1281</v>
      </c>
      <c r="BK441" s="57" t="s">
        <v>1281</v>
      </c>
      <c r="BL441" s="57" t="s">
        <v>1281</v>
      </c>
      <c r="BM441" s="57" t="s">
        <v>1281</v>
      </c>
      <c r="BN441" s="57" t="s">
        <v>1281</v>
      </c>
      <c r="BO441" s="57" t="s">
        <v>1281</v>
      </c>
      <c r="BP441" s="57" t="s">
        <v>1281</v>
      </c>
      <c r="BQ441" s="57" t="s">
        <v>1281</v>
      </c>
      <c r="BR441" s="57" t="s">
        <v>1281</v>
      </c>
      <c r="BS441" s="57" t="s">
        <v>1281</v>
      </c>
      <c r="BT441" s="57" t="s">
        <v>1281</v>
      </c>
      <c r="BU441" s="57" t="s">
        <v>1281</v>
      </c>
      <c r="BV441" s="70">
        <f t="shared" si="3550"/>
        <v>578</v>
      </c>
      <c r="BW441" s="71">
        <f t="shared" si="3551"/>
        <v>607</v>
      </c>
      <c r="BX441" s="72">
        <f t="shared" si="3552"/>
        <v>614</v>
      </c>
      <c r="BY441" s="71" t="str">
        <f t="shared" si="3553"/>
        <v>-</v>
      </c>
      <c r="BZ441" s="72">
        <f t="shared" si="3554"/>
        <v>640</v>
      </c>
      <c r="CA441" s="71" t="str">
        <f t="shared" si="3555"/>
        <v>-</v>
      </c>
      <c r="CB441" s="72">
        <f t="shared" si="3556"/>
        <v>689</v>
      </c>
      <c r="CC441" s="71">
        <f t="shared" si="3557"/>
        <v>733</v>
      </c>
      <c r="CD441" s="72">
        <f t="shared" si="3558"/>
        <v>737</v>
      </c>
      <c r="CE441" s="71">
        <f t="shared" si="3559"/>
        <v>770</v>
      </c>
      <c r="CF441" s="72">
        <f t="shared" si="3560"/>
        <v>797</v>
      </c>
      <c r="CG441" s="71">
        <f t="shared" si="3561"/>
        <v>829</v>
      </c>
      <c r="CH441" s="70">
        <f t="shared" si="3562"/>
        <v>604</v>
      </c>
      <c r="CI441" s="71">
        <f t="shared" si="3563"/>
        <v>613</v>
      </c>
      <c r="CJ441" s="72">
        <f t="shared" si="3564"/>
        <v>636</v>
      </c>
      <c r="CK441" s="72" t="str">
        <f t="shared" si="3565"/>
        <v>-</v>
      </c>
      <c r="CL441" s="72">
        <f t="shared" si="3566"/>
        <v>678</v>
      </c>
      <c r="CM441" s="72" t="str">
        <f t="shared" si="3567"/>
        <v>-</v>
      </c>
      <c r="CN441" s="72">
        <f t="shared" si="3568"/>
        <v>715</v>
      </c>
      <c r="CO441" s="72">
        <f t="shared" si="3569"/>
        <v>735</v>
      </c>
      <c r="CP441" s="72">
        <f t="shared" si="3570"/>
        <v>761</v>
      </c>
      <c r="CQ441" s="72">
        <f t="shared" si="3571"/>
        <v>794</v>
      </c>
      <c r="CR441" s="72">
        <f t="shared" si="3572"/>
        <v>828</v>
      </c>
      <c r="CS441" s="72">
        <f t="shared" si="3573"/>
        <v>832</v>
      </c>
      <c r="CT441" s="23">
        <f t="shared" si="3574"/>
        <v>1</v>
      </c>
    </row>
    <row r="442" spans="1:1030" x14ac:dyDescent="0.2">
      <c r="A442" s="3" t="str">
        <f t="shared" si="3603"/>
        <v>grm5_human_5CGD</v>
      </c>
      <c r="B442" s="3" t="s">
        <v>41</v>
      </c>
      <c r="C442" s="3" t="s">
        <v>59</v>
      </c>
      <c r="D442" s="3" t="str">
        <f>IFERROR(MID(VLOOKUP($B442,Seqs!$A:$B,2,0),E442,1),"")</f>
        <v>P</v>
      </c>
      <c r="E442" s="3">
        <v>578</v>
      </c>
      <c r="F442" s="3" t="str">
        <f>IFERROR(MID(VLOOKUP($B442,Seqs!$A:$B,2,0),G442,1),"")</f>
        <v>Y</v>
      </c>
      <c r="G442" s="3">
        <v>604</v>
      </c>
      <c r="H442" s="3" t="str">
        <f>IFERROR(MID(VLOOKUP($B442,Seqs!$A:$B,2,0),I442,1),"")</f>
        <v>T</v>
      </c>
      <c r="I442" s="23">
        <v>607</v>
      </c>
      <c r="J442" s="3" t="str">
        <f>IFERROR(MID(VLOOKUP($B442,Seqs!$A:$B,2,0),K442,1),"")</f>
        <v>S</v>
      </c>
      <c r="K442" s="23">
        <v>613</v>
      </c>
      <c r="L442" s="3" t="str">
        <f>IFERROR(MID(VLOOKUP($B442,Seqs!$A:$B,2,0),M442,1),"")</f>
        <v>S</v>
      </c>
      <c r="M442" s="3">
        <v>614</v>
      </c>
      <c r="N442" s="3" t="str">
        <f>IFERROR(MID(VLOOKUP($B442,Seqs!$A:$B,2,0),O442,1),"")</f>
        <v>I</v>
      </c>
      <c r="O442" s="3">
        <v>636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Q</v>
      </c>
      <c r="U442" s="3">
        <v>641</v>
      </c>
      <c r="V442" s="3" t="str">
        <f>IFERROR(MID(VLOOKUP($B442,Seqs!$A:$B,2,0),W442,1),"")</f>
        <v>K</v>
      </c>
      <c r="W442" s="3">
        <v>678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689</v>
      </c>
      <c r="AD442" s="3" t="str">
        <f>IFERROR(MID(VLOOKUP($B442,Seqs!$A:$B,2,0),AE442,1),"")</f>
        <v>E</v>
      </c>
      <c r="AE442" s="3">
        <v>715</v>
      </c>
      <c r="AF442" s="3" t="str">
        <f>IFERROR(MID(VLOOKUP($B442,Seqs!$A:$B,2,0),AG442,1),"")</f>
        <v>C</v>
      </c>
      <c r="AG442" s="3">
        <v>733</v>
      </c>
      <c r="AH442" s="3" t="str">
        <f>IFERROR(MID(VLOOKUP($B442,Seqs!$A:$B,2,0),AI442,1),"")</f>
        <v>T</v>
      </c>
      <c r="AI442" s="3">
        <v>735</v>
      </c>
      <c r="AJ442" s="3" t="str">
        <f>IFERROR(MID(VLOOKUP($B442,Seqs!$A:$B,2,0),AK442,1),"")</f>
        <v>N</v>
      </c>
      <c r="AK442" s="3">
        <v>737</v>
      </c>
      <c r="AL442" s="3" t="str">
        <f>IFERROR(MID(VLOOKUP($B442,Seqs!$A:$B,2,0),AM442,1),"")</f>
        <v>T</v>
      </c>
      <c r="AM442" s="3">
        <v>761</v>
      </c>
      <c r="AN442" s="3" t="str">
        <f>IFERROR(MID(VLOOKUP($B442,Seqs!$A:$B,2,0),AO442,1),"")</f>
        <v>E</v>
      </c>
      <c r="AO442" s="3">
        <v>770</v>
      </c>
      <c r="AP442" s="3" t="str">
        <f>IFERROR(MID(VLOOKUP($B442,Seqs!$A:$B,2,0),AQ442,1),"")</f>
        <v>G</v>
      </c>
      <c r="AQ442" s="3">
        <v>794</v>
      </c>
      <c r="AR442" s="3" t="str">
        <f>IFERROR(MID(VLOOKUP($B442,Seqs!$A:$B,2,0),AS442,1),"")</f>
        <v>Y</v>
      </c>
      <c r="AS442" s="105">
        <v>797</v>
      </c>
      <c r="AT442" s="3" t="str">
        <f>IFERROR(MID(VLOOKUP($B442,Seqs!$A:$B,2,0),AU442,1),"")</f>
        <v>K</v>
      </c>
      <c r="AU442" s="3">
        <v>828</v>
      </c>
      <c r="AV442" s="3" t="str">
        <f>IFERROR(MID(VLOOKUP($B442,Seqs!$A:$B,2,0),AW442,1),"")</f>
        <v>P</v>
      </c>
      <c r="AW442" s="3">
        <v>829</v>
      </c>
      <c r="AX442" s="3" t="str">
        <f>IFERROR(MID(VLOOKUP($B442,Seqs!$A:$B,2,0),AY442,1),"")</f>
        <v>R</v>
      </c>
      <c r="AY442" s="3">
        <v>831</v>
      </c>
      <c r="AZ442" s="77" t="str">
        <f>VLOOKUP(B442,Classification!A:D,2,0)</f>
        <v>C</v>
      </c>
      <c r="BA442" s="94" t="str">
        <f>VLOOKUP(B442,Classification!A:D,4,0)</f>
        <v>Metabotropicglutamate</v>
      </c>
      <c r="BB442" s="27" t="b">
        <f t="shared" si="3604"/>
        <v>1</v>
      </c>
      <c r="BC442" s="23">
        <f t="shared" si="3549"/>
        <v>212</v>
      </c>
      <c r="BD442" s="4" t="s">
        <v>23</v>
      </c>
      <c r="BE442" s="3" t="s">
        <v>1368</v>
      </c>
      <c r="BF442" s="118">
        <v>2.6</v>
      </c>
      <c r="BG442" s="49" t="s">
        <v>1371</v>
      </c>
      <c r="BH442" s="49" t="s">
        <v>1371</v>
      </c>
      <c r="BJ442" s="70" t="s">
        <v>1281</v>
      </c>
      <c r="BK442" s="57" t="s">
        <v>1281</v>
      </c>
      <c r="BL442" s="57" t="s">
        <v>1281</v>
      </c>
      <c r="BM442" s="57" t="s">
        <v>1281</v>
      </c>
      <c r="BN442" s="57" t="s">
        <v>1281</v>
      </c>
      <c r="BO442" s="57" t="s">
        <v>1281</v>
      </c>
      <c r="BP442" s="57" t="s">
        <v>1281</v>
      </c>
      <c r="BQ442" s="57" t="s">
        <v>1281</v>
      </c>
      <c r="BR442" s="57" t="s">
        <v>1281</v>
      </c>
      <c r="BS442" s="57" t="s">
        <v>1281</v>
      </c>
      <c r="BT442" s="57" t="s">
        <v>1281</v>
      </c>
      <c r="BU442" s="57" t="s">
        <v>1281</v>
      </c>
      <c r="BV442" s="70">
        <f t="shared" si="3550"/>
        <v>578</v>
      </c>
      <c r="BW442" s="71">
        <f t="shared" si="3551"/>
        <v>607</v>
      </c>
      <c r="BX442" s="72">
        <f t="shared" si="3552"/>
        <v>614</v>
      </c>
      <c r="BY442" s="71" t="str">
        <f t="shared" si="3553"/>
        <v>-</v>
      </c>
      <c r="BZ442" s="72">
        <f t="shared" si="3554"/>
        <v>641</v>
      </c>
      <c r="CA442" s="71" t="str">
        <f t="shared" si="3555"/>
        <v>-</v>
      </c>
      <c r="CB442" s="72">
        <f t="shared" si="3556"/>
        <v>689</v>
      </c>
      <c r="CC442" s="71">
        <f t="shared" si="3557"/>
        <v>733</v>
      </c>
      <c r="CD442" s="72">
        <f t="shared" si="3558"/>
        <v>737</v>
      </c>
      <c r="CE442" s="71">
        <f t="shared" si="3559"/>
        <v>770</v>
      </c>
      <c r="CF442" s="72">
        <f t="shared" si="3560"/>
        <v>797</v>
      </c>
      <c r="CG442" s="71">
        <f t="shared" si="3561"/>
        <v>829</v>
      </c>
      <c r="CH442" s="70">
        <f t="shared" si="3562"/>
        <v>604</v>
      </c>
      <c r="CI442" s="71">
        <f t="shared" si="3563"/>
        <v>613</v>
      </c>
      <c r="CJ442" s="72">
        <f t="shared" si="3564"/>
        <v>636</v>
      </c>
      <c r="CK442" s="72" t="str">
        <f t="shared" si="3565"/>
        <v>-</v>
      </c>
      <c r="CL442" s="72">
        <f t="shared" si="3566"/>
        <v>678</v>
      </c>
      <c r="CM442" s="72" t="str">
        <f t="shared" si="3567"/>
        <v>-</v>
      </c>
      <c r="CN442" s="72">
        <f t="shared" si="3568"/>
        <v>715</v>
      </c>
      <c r="CO442" s="72">
        <f t="shared" si="3569"/>
        <v>735</v>
      </c>
      <c r="CP442" s="72">
        <f t="shared" si="3570"/>
        <v>761</v>
      </c>
      <c r="CQ442" s="72">
        <f t="shared" si="3571"/>
        <v>794</v>
      </c>
      <c r="CR442" s="72">
        <f t="shared" si="3572"/>
        <v>828</v>
      </c>
      <c r="CS442" s="72">
        <f t="shared" si="3573"/>
        <v>831</v>
      </c>
      <c r="CT442" s="23">
        <f t="shared" si="3574"/>
        <v>1</v>
      </c>
      <c r="AMP442" s="3"/>
    </row>
    <row r="443" spans="1:1030" x14ac:dyDescent="0.2">
      <c r="A443" s="3" t="str">
        <f>CONCATENATE(B443,"_",C443)</f>
        <v>grm5_human_6FFH</v>
      </c>
      <c r="B443" s="3" t="s">
        <v>41</v>
      </c>
      <c r="C443" s="3" t="s">
        <v>1468</v>
      </c>
      <c r="D443" s="3" t="str">
        <f>IFERROR(MID(VLOOKUP($B443,Seqs!$A:$B,2,0),E443,1),"")</f>
        <v>P</v>
      </c>
      <c r="E443" s="3">
        <v>578</v>
      </c>
      <c r="F443" s="3" t="str">
        <f>IFERROR(MID(VLOOKUP($B443,Seqs!$A:$B,2,0),G443,1),"")</f>
        <v>Y</v>
      </c>
      <c r="G443" s="3">
        <v>604</v>
      </c>
      <c r="H443" s="3" t="str">
        <f>IFERROR(MID(VLOOKUP($B443,Seqs!$A:$B,2,0),I443,1),"")</f>
        <v>T</v>
      </c>
      <c r="I443" s="23">
        <v>607</v>
      </c>
      <c r="J443" s="3" t="str">
        <f>IFERROR(MID(VLOOKUP($B443,Seqs!$A:$B,2,0),K443,1),"")</f>
        <v>S</v>
      </c>
      <c r="K443" s="23">
        <v>613</v>
      </c>
      <c r="L443" s="3" t="str">
        <f>IFERROR(MID(VLOOKUP($B443,Seqs!$A:$B,2,0),M443,1),"")</f>
        <v>S</v>
      </c>
      <c r="M443" s="3">
        <v>614</v>
      </c>
      <c r="N443" s="3" t="str">
        <f>IFERROR(MID(VLOOKUP($B443,Seqs!$A:$B,2,0),O443,1),"")</f>
        <v>I</v>
      </c>
      <c r="O443" s="3">
        <v>636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K</v>
      </c>
      <c r="U443" s="3">
        <v>640</v>
      </c>
      <c r="V443" s="3" t="str">
        <f>IFERROR(MID(VLOOKUP($B443,Seqs!$A:$B,2,0),W443,1),"")</f>
        <v>K</v>
      </c>
      <c r="W443" s="3">
        <v>678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/>
      </c>
      <c r="AC443" s="3">
        <v>1689</v>
      </c>
      <c r="AD443" s="3" t="str">
        <f>IFERROR(MID(VLOOKUP($B443,Seqs!$A:$B,2,0),AE443,1),"")</f>
        <v/>
      </c>
      <c r="AE443" s="3">
        <v>1715</v>
      </c>
      <c r="AF443" s="3" t="str">
        <f>IFERROR(MID(VLOOKUP($B443,Seqs!$A:$B,2,0),AG443,1),"")</f>
        <v/>
      </c>
      <c r="AG443" s="3">
        <v>1733</v>
      </c>
      <c r="AH443" s="3" t="str">
        <f>IFERROR(MID(VLOOKUP($B443,Seqs!$A:$B,2,0),AI443,1),"")</f>
        <v/>
      </c>
      <c r="AI443" s="3">
        <v>1735</v>
      </c>
      <c r="AJ443" s="3" t="str">
        <f>IFERROR(MID(VLOOKUP($B443,Seqs!$A:$B,2,0),AK443,1),"")</f>
        <v/>
      </c>
      <c r="AK443" s="3">
        <v>1736</v>
      </c>
      <c r="AL443" s="3" t="str">
        <f>IFERROR(MID(VLOOKUP($B443,Seqs!$A:$B,2,0),AM443,1),"")</f>
        <v/>
      </c>
      <c r="AM443" s="3">
        <v>1761</v>
      </c>
      <c r="AN443" s="3" t="str">
        <f>IFERROR(MID(VLOOKUP($B443,Seqs!$A:$B,2,0),AO443,1),"")</f>
        <v/>
      </c>
      <c r="AO443" s="3">
        <v>1770</v>
      </c>
      <c r="AP443" s="3" t="str">
        <f>IFERROR(MID(VLOOKUP($B443,Seqs!$A:$B,2,0),AQ443,1),"")</f>
        <v/>
      </c>
      <c r="AQ443" s="3">
        <v>1794</v>
      </c>
      <c r="AR443" s="3" t="str">
        <f>IFERROR(MID(VLOOKUP($B443,Seqs!$A:$B,2,0),AS443,1),"")</f>
        <v/>
      </c>
      <c r="AS443" s="3">
        <v>1797</v>
      </c>
      <c r="AT443" s="3" t="str">
        <f>IFERROR(MID(VLOOKUP($B443,Seqs!$A:$B,2,0),AU443,1),"")</f>
        <v/>
      </c>
      <c r="AU443" s="3">
        <v>1828</v>
      </c>
      <c r="AV443" s="3" t="str">
        <f>IFERROR(MID(VLOOKUP($B443,Seqs!$A:$B,2,0),AW443,1),"")</f>
        <v/>
      </c>
      <c r="AW443" s="3">
        <v>1829</v>
      </c>
      <c r="AX443" s="3" t="str">
        <f>IFERROR(MID(VLOOKUP($B443,Seqs!$A:$B,2,0),AY443,1),"")</f>
        <v/>
      </c>
      <c r="AY443" s="3">
        <v>1832</v>
      </c>
      <c r="AZ443" s="77" t="str">
        <f>VLOOKUP(B443,Classification!A:D,2,0)</f>
        <v>C</v>
      </c>
      <c r="BA443" s="94" t="str">
        <f>VLOOKUP(B443,Classification!A:D,4,0)</f>
        <v>Metabotropicglutamate</v>
      </c>
      <c r="BB443" s="27" t="b">
        <f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>_xlfn.AGGREGATE(9,6,CH443:CS443)-_xlfn.AGGREGATE(9,6,BV443:CG443)+12</f>
        <v>215</v>
      </c>
      <c r="BD443" s="4" t="s">
        <v>23</v>
      </c>
      <c r="BE443" s="3" t="s">
        <v>1368</v>
      </c>
      <c r="BF443" s="118">
        <v>2.65</v>
      </c>
      <c r="BG443" s="49" t="s">
        <v>1</v>
      </c>
      <c r="BH443" s="49" t="s">
        <v>1</v>
      </c>
      <c r="BJ443" s="70" t="s">
        <v>1281</v>
      </c>
      <c r="BK443" s="57" t="s">
        <v>1281</v>
      </c>
      <c r="BL443" s="57" t="s">
        <v>1281</v>
      </c>
      <c r="BM443" s="57" t="s">
        <v>1281</v>
      </c>
      <c r="BN443" s="57" t="s">
        <v>1281</v>
      </c>
      <c r="BO443" s="57" t="s">
        <v>1281</v>
      </c>
      <c r="BP443" s="57" t="s">
        <v>1281</v>
      </c>
      <c r="BQ443" s="57" t="s">
        <v>1281</v>
      </c>
      <c r="BR443" s="57" t="s">
        <v>1281</v>
      </c>
      <c r="BS443" s="57" t="s">
        <v>1281</v>
      </c>
      <c r="BT443" s="57" t="s">
        <v>1281</v>
      </c>
      <c r="BU443" s="57" t="s">
        <v>1281</v>
      </c>
      <c r="BV443" s="70">
        <f>E443</f>
        <v>578</v>
      </c>
      <c r="BW443" s="71">
        <f>I443</f>
        <v>607</v>
      </c>
      <c r="BX443" s="72">
        <f>M443</f>
        <v>614</v>
      </c>
      <c r="BY443" s="71" t="str">
        <f>Q443</f>
        <v>-</v>
      </c>
      <c r="BZ443" s="72">
        <f>U443</f>
        <v>640</v>
      </c>
      <c r="CA443" s="71" t="str">
        <f>Y443</f>
        <v>-</v>
      </c>
      <c r="CB443" s="72">
        <f>AC443</f>
        <v>1689</v>
      </c>
      <c r="CC443" s="71">
        <f>AG443</f>
        <v>1733</v>
      </c>
      <c r="CD443" s="72">
        <f>AK443</f>
        <v>1736</v>
      </c>
      <c r="CE443" s="71">
        <f>AO443</f>
        <v>1770</v>
      </c>
      <c r="CF443" s="72">
        <f>AS443</f>
        <v>1797</v>
      </c>
      <c r="CG443" s="71">
        <f>AW443</f>
        <v>1829</v>
      </c>
      <c r="CH443" s="70">
        <f>G443</f>
        <v>604</v>
      </c>
      <c r="CI443" s="71">
        <f>K443</f>
        <v>613</v>
      </c>
      <c r="CJ443" s="72">
        <f>O443</f>
        <v>636</v>
      </c>
      <c r="CK443" s="72" t="str">
        <f>S443</f>
        <v>-</v>
      </c>
      <c r="CL443" s="72">
        <f>W443</f>
        <v>678</v>
      </c>
      <c r="CM443" s="72" t="str">
        <f>AA443</f>
        <v>-</v>
      </c>
      <c r="CN443" s="72">
        <f>AE443</f>
        <v>1715</v>
      </c>
      <c r="CO443" s="72">
        <f>AI443</f>
        <v>1735</v>
      </c>
      <c r="CP443" s="72">
        <f>AM443</f>
        <v>1761</v>
      </c>
      <c r="CQ443" s="72">
        <f>AQ443</f>
        <v>1794</v>
      </c>
      <c r="CR443" s="72">
        <f>AU443</f>
        <v>1828</v>
      </c>
      <c r="CS443" s="72">
        <f>AY443</f>
        <v>1832</v>
      </c>
      <c r="CT443" s="23">
        <f>M443-K443</f>
        <v>1</v>
      </c>
      <c r="AMP443" s="3"/>
    </row>
    <row r="444" spans="1:1030" x14ac:dyDescent="0.2">
      <c r="A444" s="3" t="str">
        <f>CONCATENATE(B444,"_",C444)</f>
        <v>grm5_human_6FFI</v>
      </c>
      <c r="B444" s="3" t="s">
        <v>41</v>
      </c>
      <c r="C444" s="3" t="s">
        <v>1469</v>
      </c>
      <c r="D444" s="3" t="str">
        <f>IFERROR(MID(VLOOKUP($B444,Seqs!$A:$B,2,0),E444,1),"")</f>
        <v>P</v>
      </c>
      <c r="E444" s="3">
        <v>578</v>
      </c>
      <c r="F444" s="3" t="str">
        <f>IFERROR(MID(VLOOKUP($B444,Seqs!$A:$B,2,0),G444,1),"")</f>
        <v>Y</v>
      </c>
      <c r="G444" s="3">
        <v>604</v>
      </c>
      <c r="H444" s="3" t="str">
        <f>IFERROR(MID(VLOOKUP($B444,Seqs!$A:$B,2,0),I444,1),"")</f>
        <v>T</v>
      </c>
      <c r="I444" s="23">
        <v>607</v>
      </c>
      <c r="J444" s="3" t="str">
        <f>IFERROR(MID(VLOOKUP($B444,Seqs!$A:$B,2,0),K444,1),"")</f>
        <v>S</v>
      </c>
      <c r="K444" s="23">
        <v>613</v>
      </c>
      <c r="L444" s="3" t="str">
        <f>IFERROR(MID(VLOOKUP($B444,Seqs!$A:$B,2,0),M444,1),"")</f>
        <v>S</v>
      </c>
      <c r="M444" s="3">
        <v>614</v>
      </c>
      <c r="N444" s="3" t="str">
        <f>IFERROR(MID(VLOOKUP($B444,Seqs!$A:$B,2,0),O444,1),"")</f>
        <v>I</v>
      </c>
      <c r="O444" s="3">
        <v>636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K</v>
      </c>
      <c r="U444" s="3">
        <v>640</v>
      </c>
      <c r="V444" s="3" t="str">
        <f>IFERROR(MID(VLOOKUP($B444,Seqs!$A:$B,2,0),W444,1),"")</f>
        <v>K</v>
      </c>
      <c r="W444" s="3">
        <v>678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D</v>
      </c>
      <c r="AC444" s="3">
        <v>849</v>
      </c>
      <c r="AD444" s="3" t="str">
        <f>IFERROR(MID(VLOOKUP($B444,Seqs!$A:$B,2,0),AE444,1),"")</f>
        <v>T</v>
      </c>
      <c r="AE444" s="3">
        <v>875</v>
      </c>
      <c r="AF444" s="3" t="str">
        <f>IFERROR(MID(VLOOKUP($B444,Seqs!$A:$B,2,0),AG444,1),"")</f>
        <v>F</v>
      </c>
      <c r="AG444" s="3">
        <v>893</v>
      </c>
      <c r="AH444" s="3" t="str">
        <f>IFERROR(MID(VLOOKUP($B444,Seqs!$A:$B,2,0),AI444,1),"")</f>
        <v>P</v>
      </c>
      <c r="AI444" s="3">
        <v>895</v>
      </c>
      <c r="AJ444" s="3" t="str">
        <f>IFERROR(MID(VLOOKUP($B444,Seqs!$A:$B,2,0),AK444,1),"")</f>
        <v>K</v>
      </c>
      <c r="AK444" s="3">
        <v>896</v>
      </c>
      <c r="AL444" s="3" t="str">
        <f>IFERROR(MID(VLOOKUP($B444,Seqs!$A:$B,2,0),AM444,1),"")</f>
        <v>E</v>
      </c>
      <c r="AM444" s="3">
        <v>921</v>
      </c>
      <c r="AN444" s="3" t="str">
        <f>IFERROR(MID(VLOOKUP($B444,Seqs!$A:$B,2,0),AO444,1),"")</f>
        <v>L</v>
      </c>
      <c r="AO444" s="3">
        <v>929</v>
      </c>
      <c r="AP444" s="3" t="str">
        <f>IFERROR(MID(VLOOKUP($B444,Seqs!$A:$B,2,0),AQ444,1),"")</f>
        <v>S</v>
      </c>
      <c r="AQ444" s="3">
        <v>955</v>
      </c>
      <c r="AR444" s="3" t="str">
        <f>IFERROR(MID(VLOOKUP($B444,Seqs!$A:$B,2,0),AS444,1),"")</f>
        <v>E</v>
      </c>
      <c r="AS444" s="3">
        <v>957</v>
      </c>
      <c r="AT444" s="3" t="str">
        <f>IFERROR(MID(VLOOKUP($B444,Seqs!$A:$B,2,0),AU444,1),"")</f>
        <v>G</v>
      </c>
      <c r="AU444" s="3">
        <v>988</v>
      </c>
      <c r="AV444" s="3" t="str">
        <f>IFERROR(MID(VLOOKUP($B444,Seqs!$A:$B,2,0),AW444,1),"")</f>
        <v>G</v>
      </c>
      <c r="AW444" s="3">
        <v>989</v>
      </c>
      <c r="AX444" s="3" t="str">
        <f>IFERROR(MID(VLOOKUP($B444,Seqs!$A:$B,2,0),AY444,1),"")</f>
        <v>S</v>
      </c>
      <c r="AY444" s="3">
        <v>992</v>
      </c>
      <c r="AZ444" s="77" t="str">
        <f>VLOOKUP(B444,Classification!A:D,2,0)</f>
        <v>C</v>
      </c>
      <c r="BA444" s="94" t="str">
        <f>VLOOKUP(B444,Classification!A:D,4,0)</f>
        <v>Metabotropicglutamate</v>
      </c>
      <c r="BB444" s="27" t="b">
        <f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>_xlfn.AGGREGATE(9,6,CH444:CS444)-_xlfn.AGGREGATE(9,6,BV444:CG444)+12</f>
        <v>217</v>
      </c>
      <c r="BD444" s="4" t="s">
        <v>23</v>
      </c>
      <c r="BE444" s="3" t="s">
        <v>1368</v>
      </c>
      <c r="BF444" s="118">
        <v>2.2000000000000002</v>
      </c>
      <c r="BG444" s="49" t="s">
        <v>1</v>
      </c>
      <c r="BH444" s="49" t="s">
        <v>1</v>
      </c>
      <c r="BJ444" s="70" t="s">
        <v>1281</v>
      </c>
      <c r="BK444" s="57" t="s">
        <v>1281</v>
      </c>
      <c r="BL444" s="57" t="s">
        <v>1281</v>
      </c>
      <c r="BM444" s="57" t="s">
        <v>1281</v>
      </c>
      <c r="BN444" s="57" t="s">
        <v>1281</v>
      </c>
      <c r="BO444" s="57" t="s">
        <v>1281</v>
      </c>
      <c r="BP444" s="57" t="s">
        <v>1281</v>
      </c>
      <c r="BQ444" s="57" t="s">
        <v>1281</v>
      </c>
      <c r="BR444" s="57" t="s">
        <v>1281</v>
      </c>
      <c r="BS444" s="57" t="s">
        <v>1281</v>
      </c>
      <c r="BT444" s="57" t="s">
        <v>1281</v>
      </c>
      <c r="BU444" s="57" t="s">
        <v>1281</v>
      </c>
      <c r="BV444" s="70">
        <f>E444</f>
        <v>578</v>
      </c>
      <c r="BW444" s="71">
        <f>I444</f>
        <v>607</v>
      </c>
      <c r="BX444" s="72">
        <f>M444</f>
        <v>614</v>
      </c>
      <c r="BY444" s="71" t="str">
        <f>Q444</f>
        <v>-</v>
      </c>
      <c r="BZ444" s="72">
        <f>U444</f>
        <v>640</v>
      </c>
      <c r="CA444" s="71" t="str">
        <f>Y444</f>
        <v>-</v>
      </c>
      <c r="CB444" s="72">
        <f>AC444</f>
        <v>849</v>
      </c>
      <c r="CC444" s="71">
        <f>AG444</f>
        <v>893</v>
      </c>
      <c r="CD444" s="72">
        <f>AK444</f>
        <v>896</v>
      </c>
      <c r="CE444" s="71">
        <f>AO444</f>
        <v>929</v>
      </c>
      <c r="CF444" s="72">
        <f>AS444</f>
        <v>957</v>
      </c>
      <c r="CG444" s="71">
        <f>AW444</f>
        <v>989</v>
      </c>
      <c r="CH444" s="70">
        <f>G444</f>
        <v>604</v>
      </c>
      <c r="CI444" s="71">
        <f>K444</f>
        <v>613</v>
      </c>
      <c r="CJ444" s="72">
        <f>O444</f>
        <v>636</v>
      </c>
      <c r="CK444" s="72" t="str">
        <f>S444</f>
        <v>-</v>
      </c>
      <c r="CL444" s="72">
        <f>W444</f>
        <v>678</v>
      </c>
      <c r="CM444" s="72" t="str">
        <f>AA444</f>
        <v>-</v>
      </c>
      <c r="CN444" s="72">
        <f>AE444</f>
        <v>875</v>
      </c>
      <c r="CO444" s="72">
        <f>AI444</f>
        <v>895</v>
      </c>
      <c r="CP444" s="72">
        <f>AM444</f>
        <v>921</v>
      </c>
      <c r="CQ444" s="72">
        <f>AQ444</f>
        <v>955</v>
      </c>
      <c r="CR444" s="72">
        <f>AU444</f>
        <v>988</v>
      </c>
      <c r="CS444" s="72">
        <f>AY444</f>
        <v>992</v>
      </c>
      <c r="CT444" s="23">
        <f>M444-K444</f>
        <v>1</v>
      </c>
      <c r="AMP444" s="3"/>
    </row>
    <row r="445" spans="1:1030" s="12" customFormat="1" x14ac:dyDescent="0.2">
      <c r="A445" s="9" t="str">
        <f>CONCATENATE(B445,"_",C445)</f>
        <v>grm5_human_6N51</v>
      </c>
      <c r="B445" s="9" t="s">
        <v>41</v>
      </c>
      <c r="C445" s="9" t="s">
        <v>1546</v>
      </c>
      <c r="D445" s="9" t="str">
        <f>IFERROR(MID(VLOOKUP($B445,Seqs!$A:$B,2,0),E445,1),"")</f>
        <v>D</v>
      </c>
      <c r="E445" s="9">
        <v>577</v>
      </c>
      <c r="F445" s="9" t="str">
        <f>IFERROR(MID(VLOOKUP($B445,Seqs!$A:$B,2,0),G445,1),"")</f>
        <v>I</v>
      </c>
      <c r="G445" s="9">
        <v>602</v>
      </c>
      <c r="H445" s="9" t="str">
        <f>IFERROR(MID(VLOOKUP($B445,Seqs!$A:$B,2,0),I445,1),"")</f>
        <v>T</v>
      </c>
      <c r="I445" s="109">
        <v>607</v>
      </c>
      <c r="J445" s="9" t="str">
        <f>IFERROR(MID(VLOOKUP($B445,Seqs!$A:$B,2,0),K445,1),"")</f>
        <v>S</v>
      </c>
      <c r="K445" s="109">
        <v>613</v>
      </c>
      <c r="L445" s="9" t="str">
        <f>IFERROR(MID(VLOOKUP($B445,Seqs!$A:$B,2,0),M445,1),"")</f>
        <v>S</v>
      </c>
      <c r="M445" s="9">
        <v>614</v>
      </c>
      <c r="N445" s="9" t="str">
        <f>IFERROR(MID(VLOOKUP($B445,Seqs!$A:$B,2,0),O445,1),"")</f>
        <v>C</v>
      </c>
      <c r="O445" s="9">
        <v>634</v>
      </c>
      <c r="P445" s="9" t="str">
        <f>IFERROR(MID(VLOOKUP($B445,Seqs!$A:$B,2,0),Q445,1),"")</f>
        <v/>
      </c>
      <c r="Q445" s="9" t="s">
        <v>23</v>
      </c>
      <c r="R445" s="9" t="str">
        <f>IFERROR(MID(VLOOKUP($B445,Seqs!$A:$B,2,0),S445,1),"")</f>
        <v/>
      </c>
      <c r="S445" s="9" t="s">
        <v>23</v>
      </c>
      <c r="T445" s="9" t="str">
        <f>IFERROR(MID(VLOOKUP($B445,Seqs!$A:$B,2,0),U445,1),"")</f>
        <v>K</v>
      </c>
      <c r="U445" s="9">
        <v>640</v>
      </c>
      <c r="V445" s="9" t="str">
        <f>IFERROR(MID(VLOOKUP($B445,Seqs!$A:$B,2,0),W445,1),"")</f>
        <v>A</v>
      </c>
      <c r="W445" s="9">
        <v>674</v>
      </c>
      <c r="X445" s="9" t="str">
        <f>IFERROR(MID(VLOOKUP($B445,Seqs!$A:$B,2,0),Y445,1),"")</f>
        <v/>
      </c>
      <c r="Y445" s="9" t="s">
        <v>23</v>
      </c>
      <c r="Z445" s="9" t="str">
        <f>IFERROR(MID(VLOOKUP($B445,Seqs!$A:$B,2,0),AA445,1),"")</f>
        <v/>
      </c>
      <c r="AA445" s="9" t="s">
        <v>23</v>
      </c>
      <c r="AB445" s="9" t="str">
        <f>IFERROR(MID(VLOOKUP($B445,Seqs!$A:$B,2,0),AC445,1),"")</f>
        <v>S</v>
      </c>
      <c r="AC445" s="9">
        <v>689</v>
      </c>
      <c r="AD445" s="9" t="str">
        <f>IFERROR(MID(VLOOKUP($B445,Seqs!$A:$B,2,0),AE445,1),"")</f>
        <v>E</v>
      </c>
      <c r="AE445" s="9">
        <v>715</v>
      </c>
      <c r="AF445" s="9" t="str">
        <f>IFERROR(MID(VLOOKUP($B445,Seqs!$A:$B,2,0),AG445,1),"")</f>
        <v>C</v>
      </c>
      <c r="AG445" s="9">
        <v>733</v>
      </c>
      <c r="AH445" s="9" t="str">
        <f>IFERROR(MID(VLOOKUP($B445,Seqs!$A:$B,2,0),AI445,1),"")</f>
        <v>T</v>
      </c>
      <c r="AI445" s="9">
        <v>735</v>
      </c>
      <c r="AJ445" s="9" t="str">
        <f>IFERROR(MID(VLOOKUP($B445,Seqs!$A:$B,2,0),AK445,1),"")</f>
        <v>N</v>
      </c>
      <c r="AK445" s="9">
        <v>737</v>
      </c>
      <c r="AL445" s="9" t="str">
        <f>IFERROR(MID(VLOOKUP($B445,Seqs!$A:$B,2,0),AM445,1),"")</f>
        <v>A</v>
      </c>
      <c r="AM445" s="9">
        <v>758</v>
      </c>
      <c r="AN445" s="9" t="str">
        <f>IFERROR(MID(VLOOKUP($B445,Seqs!$A:$B,2,0),AO445,1),"")</f>
        <v>N</v>
      </c>
      <c r="AO445" s="9">
        <v>769</v>
      </c>
      <c r="AP445" s="9" t="str">
        <f>IFERROR(MID(VLOOKUP($B445,Seqs!$A:$B,2,0),AQ445,1),"")</f>
        <v>G</v>
      </c>
      <c r="AQ445" s="9">
        <v>794</v>
      </c>
      <c r="AR445" s="9" t="str">
        <f>IFERROR(MID(VLOOKUP($B445,Seqs!$A:$B,2,0),AS445,1),"")</f>
        <v>I</v>
      </c>
      <c r="AS445" s="9">
        <v>799</v>
      </c>
      <c r="AT445" s="9" t="str">
        <f>IFERROR(MID(VLOOKUP($B445,Seqs!$A:$B,2,0),AU445,1),"")</f>
        <v>L</v>
      </c>
      <c r="AU445" s="9">
        <v>826</v>
      </c>
      <c r="AV445" s="9" t="str">
        <f>IFERROR(MID(VLOOKUP($B445,Seqs!$A:$B,2,0),AW445,1),"")</f>
        <v/>
      </c>
      <c r="AW445" s="9" t="s">
        <v>23</v>
      </c>
      <c r="AX445" s="9" t="str">
        <f>IFERROR(MID(VLOOKUP($B445,Seqs!$A:$B,2,0),AY445,1),"")</f>
        <v/>
      </c>
      <c r="AY445" s="9" t="s">
        <v>23</v>
      </c>
      <c r="AZ445" s="110" t="str">
        <f>VLOOKUP(B445,Classification!A:D,2,0)</f>
        <v>C</v>
      </c>
      <c r="BA445" s="98" t="str">
        <f>VLOOKUP(B445,Classification!A:D,4,0)</f>
        <v>Metabotropicglutamate</v>
      </c>
      <c r="BB445" s="36" t="b">
        <f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109">
        <f>_xlfn.AGGREGATE(9,6,CH445:CS445)-_xlfn.AGGREGATE(9,6,BV445:CG445)+12</f>
        <v>198</v>
      </c>
      <c r="BD445" s="11" t="s">
        <v>23</v>
      </c>
      <c r="BE445" s="9" t="s">
        <v>1368</v>
      </c>
      <c r="BF445" s="119">
        <v>4</v>
      </c>
      <c r="BG445" s="51" t="s">
        <v>1275</v>
      </c>
      <c r="BH445" s="51" t="s">
        <v>1275</v>
      </c>
      <c r="BI445" s="9"/>
      <c r="BJ445" s="111" t="s">
        <v>1281</v>
      </c>
      <c r="BK445" s="112" t="s">
        <v>1281</v>
      </c>
      <c r="BL445" s="112" t="s">
        <v>1281</v>
      </c>
      <c r="BM445" s="112" t="s">
        <v>1281</v>
      </c>
      <c r="BN445" s="112" t="s">
        <v>1281</v>
      </c>
      <c r="BO445" s="112" t="s">
        <v>1281</v>
      </c>
      <c r="BP445" s="112" t="s">
        <v>1281</v>
      </c>
      <c r="BQ445" s="112" t="s">
        <v>1281</v>
      </c>
      <c r="BR445" s="112" t="s">
        <v>1281</v>
      </c>
      <c r="BS445" s="112" t="s">
        <v>1281</v>
      </c>
      <c r="BT445" s="112" t="s">
        <v>1281</v>
      </c>
      <c r="BU445" s="112" t="s">
        <v>1281</v>
      </c>
      <c r="BV445" s="111">
        <f>E445</f>
        <v>577</v>
      </c>
      <c r="BW445" s="113">
        <f>I445</f>
        <v>607</v>
      </c>
      <c r="BX445" s="114">
        <f>M445</f>
        <v>614</v>
      </c>
      <c r="BY445" s="113" t="str">
        <f>Q445</f>
        <v>-</v>
      </c>
      <c r="BZ445" s="114">
        <f>U445</f>
        <v>640</v>
      </c>
      <c r="CA445" s="113" t="str">
        <f>Y445</f>
        <v>-</v>
      </c>
      <c r="CB445" s="114">
        <f>AC445</f>
        <v>689</v>
      </c>
      <c r="CC445" s="113">
        <f>AG445</f>
        <v>733</v>
      </c>
      <c r="CD445" s="114">
        <f>AK445</f>
        <v>737</v>
      </c>
      <c r="CE445" s="113">
        <f>AO445</f>
        <v>769</v>
      </c>
      <c r="CF445" s="114">
        <f>AS445</f>
        <v>799</v>
      </c>
      <c r="CG445" s="113" t="str">
        <f>AW445</f>
        <v>-</v>
      </c>
      <c r="CH445" s="111">
        <f>G445</f>
        <v>602</v>
      </c>
      <c r="CI445" s="113">
        <f>K445</f>
        <v>613</v>
      </c>
      <c r="CJ445" s="114">
        <f>O445</f>
        <v>634</v>
      </c>
      <c r="CK445" s="114" t="str">
        <f>S445</f>
        <v>-</v>
      </c>
      <c r="CL445" s="114">
        <f>W445</f>
        <v>674</v>
      </c>
      <c r="CM445" s="114" t="str">
        <f>AA445</f>
        <v>-</v>
      </c>
      <c r="CN445" s="114">
        <f>AE445</f>
        <v>715</v>
      </c>
      <c r="CO445" s="114">
        <f>AI445</f>
        <v>735</v>
      </c>
      <c r="CP445" s="114">
        <f>AM445</f>
        <v>758</v>
      </c>
      <c r="CQ445" s="114">
        <f>AQ445</f>
        <v>794</v>
      </c>
      <c r="CR445" s="114">
        <f>AU445</f>
        <v>826</v>
      </c>
      <c r="CS445" s="114" t="str">
        <f>AY445</f>
        <v>-</v>
      </c>
      <c r="CT445" s="109">
        <f>M445-K445</f>
        <v>1</v>
      </c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  <c r="AMK445" s="9"/>
      <c r="AML445" s="9"/>
      <c r="AMM445" s="9"/>
      <c r="AMN445" s="9"/>
      <c r="AMO445" s="9"/>
      <c r="AMP445" s="9"/>
    </row>
    <row r="446" spans="1:1030" s="12" customFormat="1" x14ac:dyDescent="0.2">
      <c r="A446" s="9" t="str">
        <f>CONCATENATE(B446,"_",C446)</f>
        <v>grm5_human_6N52</v>
      </c>
      <c r="B446" s="9" t="s">
        <v>41</v>
      </c>
      <c r="C446" s="9" t="s">
        <v>1547</v>
      </c>
      <c r="D446" s="9" t="str">
        <f>IFERROR(MID(VLOOKUP($B446,Seqs!$A:$B,2,0),E446,1),"")</f>
        <v>P</v>
      </c>
      <c r="E446" s="9">
        <v>580</v>
      </c>
      <c r="F446" s="9" t="str">
        <f>IFERROR(MID(VLOOKUP($B446,Seqs!$A:$B,2,0),G446,1),"")</f>
        <v>T</v>
      </c>
      <c r="G446" s="9">
        <v>598</v>
      </c>
      <c r="H446" s="9" t="str">
        <f>IFERROR(MID(VLOOKUP($B446,Seqs!$A:$B,2,0),I446,1),"")</f>
        <v>T</v>
      </c>
      <c r="I446" s="109">
        <v>607</v>
      </c>
      <c r="J446" s="9" t="str">
        <f>IFERROR(MID(VLOOKUP($B446,Seqs!$A:$B,2,0),K446,1),"")</f>
        <v>S</v>
      </c>
      <c r="K446" s="109">
        <v>613</v>
      </c>
      <c r="L446" s="9" t="str">
        <f>IFERROR(MID(VLOOKUP($B446,Seqs!$A:$B,2,0),M446,1),"")</f>
        <v>S</v>
      </c>
      <c r="M446" s="9">
        <v>614</v>
      </c>
      <c r="N446" s="9" t="str">
        <f>IFERROR(MID(VLOOKUP($B446,Seqs!$A:$B,2,0),O446,1),"")</f>
        <v>I</v>
      </c>
      <c r="O446" s="9">
        <v>636</v>
      </c>
      <c r="P446" s="9" t="str">
        <f>IFERROR(MID(VLOOKUP($B446,Seqs!$A:$B,2,0),Q446,1),"")</f>
        <v/>
      </c>
      <c r="Q446" s="9" t="s">
        <v>23</v>
      </c>
      <c r="R446" s="9" t="str">
        <f>IFERROR(MID(VLOOKUP($B446,Seqs!$A:$B,2,0),S446,1),"")</f>
        <v/>
      </c>
      <c r="S446" s="9" t="s">
        <v>23</v>
      </c>
      <c r="T446" s="9" t="str">
        <f>IFERROR(MID(VLOOKUP($B446,Seqs!$A:$B,2,0),U446,1),"")</f>
        <v>K</v>
      </c>
      <c r="U446" s="9">
        <v>640</v>
      </c>
      <c r="V446" s="9" t="str">
        <f>IFERROR(MID(VLOOKUP($B446,Seqs!$A:$B,2,0),W446,1),"")</f>
        <v>I</v>
      </c>
      <c r="W446" s="9">
        <v>669</v>
      </c>
      <c r="X446" s="9" t="str">
        <f>IFERROR(MID(VLOOKUP($B446,Seqs!$A:$B,2,0),Y446,1),"")</f>
        <v/>
      </c>
      <c r="Y446" s="9" t="s">
        <v>23</v>
      </c>
      <c r="Z446" s="9" t="str">
        <f>IFERROR(MID(VLOOKUP($B446,Seqs!$A:$B,2,0),AA446,1),"")</f>
        <v/>
      </c>
      <c r="AA446" s="9" t="s">
        <v>23</v>
      </c>
      <c r="AB446" s="9" t="str">
        <f>IFERROR(MID(VLOOKUP($B446,Seqs!$A:$B,2,0),AC446,1),"")</f>
        <v>A</v>
      </c>
      <c r="AC446" s="9">
        <v>692</v>
      </c>
      <c r="AD446" s="9" t="str">
        <f>IFERROR(MID(VLOOKUP($B446,Seqs!$A:$B,2,0),AE446,1),"")</f>
        <v>E</v>
      </c>
      <c r="AE446" s="9">
        <v>715</v>
      </c>
      <c r="AF446" s="9" t="str">
        <f>IFERROR(MID(VLOOKUP($B446,Seqs!$A:$B,2,0),AG446,1),"")</f>
        <v>C</v>
      </c>
      <c r="AG446" s="9">
        <v>733</v>
      </c>
      <c r="AH446" s="9" t="str">
        <f>IFERROR(MID(VLOOKUP($B446,Seqs!$A:$B,2,0),AI446,1),"")</f>
        <v>T</v>
      </c>
      <c r="AI446" s="9">
        <v>735</v>
      </c>
      <c r="AJ446" s="9" t="str">
        <f>IFERROR(MID(VLOOKUP($B446,Seqs!$A:$B,2,0),AK446,1),"")</f>
        <v>T</v>
      </c>
      <c r="AK446" s="9">
        <v>736</v>
      </c>
      <c r="AL446" s="9" t="str">
        <f>IFERROR(MID(VLOOKUP($B446,Seqs!$A:$B,2,0),AM446,1),"")</f>
        <v>T</v>
      </c>
      <c r="AM446" s="9">
        <v>761</v>
      </c>
      <c r="AN446" s="9" t="str">
        <f>IFERROR(MID(VLOOKUP($B446,Seqs!$A:$B,2,0),AO446,1),"")</f>
        <v>E</v>
      </c>
      <c r="AO446" s="9">
        <v>770</v>
      </c>
      <c r="AP446" s="9" t="str">
        <f>IFERROR(MID(VLOOKUP($B446,Seqs!$A:$B,2,0),AQ446,1),"")</f>
        <v>F</v>
      </c>
      <c r="AQ446" s="9">
        <v>793</v>
      </c>
      <c r="AR446" s="9" t="str">
        <f>IFERROR(MID(VLOOKUP($B446,Seqs!$A:$B,2,0),AS446,1),"")</f>
        <v>I</v>
      </c>
      <c r="AS446" s="9">
        <v>799</v>
      </c>
      <c r="AT446" s="9" t="str">
        <f>IFERROR(MID(VLOOKUP($B446,Seqs!$A:$B,2,0),AU446,1),"")</f>
        <v>K</v>
      </c>
      <c r="AU446" s="9">
        <v>828</v>
      </c>
      <c r="AV446" s="9" t="str">
        <f>IFERROR(MID(VLOOKUP($B446,Seqs!$A:$B,2,0),AW446,1),"")</f>
        <v>P</v>
      </c>
      <c r="AW446" s="9">
        <v>829</v>
      </c>
      <c r="AX446" s="9" t="str">
        <f>IFERROR(MID(VLOOKUP($B446,Seqs!$A:$B,2,0),AY446,1),"")</f>
        <v>N</v>
      </c>
      <c r="AY446" s="9">
        <v>832</v>
      </c>
      <c r="AZ446" s="110" t="str">
        <f>VLOOKUP(B446,Classification!A:D,2,0)</f>
        <v>C</v>
      </c>
      <c r="BA446" s="98" t="str">
        <f>VLOOKUP(B446,Classification!A:D,4,0)</f>
        <v>Metabotropicglutamate</v>
      </c>
      <c r="BB446" s="36" t="b">
        <f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109">
        <f>_xlfn.AGGREGATE(9,6,CH446:CS446)-_xlfn.AGGREGATE(9,6,BV446:CG446)+12</f>
        <v>192</v>
      </c>
      <c r="BD446" s="11" t="s">
        <v>23</v>
      </c>
      <c r="BE446" s="9" t="s">
        <v>1368</v>
      </c>
      <c r="BF446" s="119">
        <v>4</v>
      </c>
      <c r="BG446" s="51" t="s">
        <v>1</v>
      </c>
      <c r="BH446" s="51" t="s">
        <v>1</v>
      </c>
      <c r="BI446" s="9"/>
      <c r="BJ446" s="111" t="s">
        <v>1281</v>
      </c>
      <c r="BK446" s="112" t="s">
        <v>1281</v>
      </c>
      <c r="BL446" s="112" t="s">
        <v>1281</v>
      </c>
      <c r="BM446" s="112" t="s">
        <v>1281</v>
      </c>
      <c r="BN446" s="112" t="s">
        <v>1281</v>
      </c>
      <c r="BO446" s="112" t="s">
        <v>1281</v>
      </c>
      <c r="BP446" s="112" t="s">
        <v>1281</v>
      </c>
      <c r="BQ446" s="112" t="s">
        <v>1281</v>
      </c>
      <c r="BR446" s="112" t="s">
        <v>1281</v>
      </c>
      <c r="BS446" s="112" t="s">
        <v>1281</v>
      </c>
      <c r="BT446" s="112" t="s">
        <v>1281</v>
      </c>
      <c r="BU446" s="112" t="s">
        <v>1281</v>
      </c>
      <c r="BV446" s="111">
        <f>E446</f>
        <v>580</v>
      </c>
      <c r="BW446" s="113">
        <f>I446</f>
        <v>607</v>
      </c>
      <c r="BX446" s="114">
        <f>M446</f>
        <v>614</v>
      </c>
      <c r="BY446" s="113" t="str">
        <f>Q446</f>
        <v>-</v>
      </c>
      <c r="BZ446" s="114">
        <f>U446</f>
        <v>640</v>
      </c>
      <c r="CA446" s="113" t="str">
        <f>Y446</f>
        <v>-</v>
      </c>
      <c r="CB446" s="114">
        <f>AC446</f>
        <v>692</v>
      </c>
      <c r="CC446" s="113">
        <f>AG446</f>
        <v>733</v>
      </c>
      <c r="CD446" s="114">
        <f>AK446</f>
        <v>736</v>
      </c>
      <c r="CE446" s="113">
        <f>AO446</f>
        <v>770</v>
      </c>
      <c r="CF446" s="114">
        <f>AS446</f>
        <v>799</v>
      </c>
      <c r="CG446" s="113">
        <f>AW446</f>
        <v>829</v>
      </c>
      <c r="CH446" s="111">
        <f>G446</f>
        <v>598</v>
      </c>
      <c r="CI446" s="113">
        <f>K446</f>
        <v>613</v>
      </c>
      <c r="CJ446" s="114">
        <f>O446</f>
        <v>636</v>
      </c>
      <c r="CK446" s="114" t="str">
        <f>S446</f>
        <v>-</v>
      </c>
      <c r="CL446" s="114">
        <f>W446</f>
        <v>669</v>
      </c>
      <c r="CM446" s="114" t="str">
        <f>AA446</f>
        <v>-</v>
      </c>
      <c r="CN446" s="114">
        <f>AE446</f>
        <v>715</v>
      </c>
      <c r="CO446" s="114">
        <f>AI446</f>
        <v>735</v>
      </c>
      <c r="CP446" s="114">
        <f>AM446</f>
        <v>761</v>
      </c>
      <c r="CQ446" s="114">
        <f>AQ446</f>
        <v>793</v>
      </c>
      <c r="CR446" s="114">
        <f>AU446</f>
        <v>828</v>
      </c>
      <c r="CS446" s="114">
        <f>AY446</f>
        <v>832</v>
      </c>
      <c r="CT446" s="109">
        <f>M446-K446</f>
        <v>1</v>
      </c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  <c r="AMK446" s="9"/>
      <c r="AML446" s="9"/>
      <c r="AMM446" s="9"/>
      <c r="AMN446" s="9"/>
      <c r="AMO446" s="9"/>
      <c r="AMP446" s="9"/>
    </row>
    <row r="447" spans="1:1030" s="12" customFormat="1" x14ac:dyDescent="0.2">
      <c r="A447" s="9" t="str">
        <f>CONCATENATE(B447,"_",C447)</f>
        <v>fzd4_human__wt</v>
      </c>
      <c r="B447" s="9" t="s">
        <v>444</v>
      </c>
      <c r="C447" s="9" t="s">
        <v>100</v>
      </c>
      <c r="D447" s="9" t="str">
        <f>IFERROR(MID(VLOOKUP($B447,Seqs!$A:$B,2,0),E447,1),"")</f>
        <v>S</v>
      </c>
      <c r="E447" s="9">
        <v>212</v>
      </c>
      <c r="F447" s="9" t="str">
        <f>IFERROR(MID(VLOOKUP($B447,Seqs!$A:$B,2,0),G447,1),"")</f>
        <v>D</v>
      </c>
      <c r="G447" s="9">
        <v>244</v>
      </c>
      <c r="H447" s="9" t="str">
        <f>IFERROR(MID(VLOOKUP($B447,Seqs!$A:$B,2,0),I447,1),"")</f>
        <v>S</v>
      </c>
      <c r="I447" s="109">
        <v>245</v>
      </c>
      <c r="J447" s="9" t="str">
        <f>IFERROR(MID(VLOOKUP($B447,Seqs!$A:$B,2,0),K447,1),"")</f>
        <v>S</v>
      </c>
      <c r="K447" s="109">
        <v>249</v>
      </c>
      <c r="L447" s="9" t="str">
        <f>IFERROR(MID(VLOOKUP($B447,Seqs!$A:$B,2,0),M447,1),"")</f>
        <v>Y</v>
      </c>
      <c r="M447" s="9">
        <v>250</v>
      </c>
      <c r="N447" s="9" t="str">
        <f>IFERROR(MID(VLOOKUP($B447,Seqs!$A:$B,2,0),O447,1),"")</f>
        <v>G</v>
      </c>
      <c r="O447" s="9">
        <v>276</v>
      </c>
      <c r="P447" s="9" t="str">
        <f>IFERROR(MID(VLOOKUP($B447,Seqs!$A:$B,2,0),Q447,1),"")</f>
        <v/>
      </c>
      <c r="Q447" s="9" t="s">
        <v>23</v>
      </c>
      <c r="R447" s="9" t="str">
        <f>IFERROR(MID(VLOOKUP($B447,Seqs!$A:$B,2,0),S447,1),"")</f>
        <v/>
      </c>
      <c r="S447" s="9" t="s">
        <v>23</v>
      </c>
      <c r="T447" s="9" t="str">
        <f>IFERROR(MID(VLOOKUP($B447,Seqs!$A:$B,2,0),U447,1),"")</f>
        <v>N</v>
      </c>
      <c r="U447" s="9">
        <v>299</v>
      </c>
      <c r="V447" s="9" t="str">
        <f>IFERROR(MID(VLOOKUP($B447,Seqs!$A:$B,2,0),W447,1),"")</f>
        <v>G</v>
      </c>
      <c r="W447" s="9">
        <v>332</v>
      </c>
      <c r="X447" s="9" t="str">
        <f>IFERROR(MID(VLOOKUP($B447,Seqs!$A:$B,2,0),Y447,1),"")</f>
        <v/>
      </c>
      <c r="Y447" s="9" t="s">
        <v>23</v>
      </c>
      <c r="Z447" s="9" t="str">
        <f>IFERROR(MID(VLOOKUP($B447,Seqs!$A:$B,2,0),AA447,1),"")</f>
        <v/>
      </c>
      <c r="AA447" s="9" t="s">
        <v>23</v>
      </c>
      <c r="AB447" s="9" t="str">
        <f>IFERROR(MID(VLOOKUP($B447,Seqs!$A:$B,2,0),AC447,1),"")</f>
        <v>H</v>
      </c>
      <c r="AC447" s="9">
        <v>343</v>
      </c>
      <c r="AD447" s="9" t="str">
        <f>IFERROR(MID(VLOOKUP($B447,Seqs!$A:$B,2,0),AE447,1),"")</f>
        <v>R</v>
      </c>
      <c r="AE447" s="9">
        <v>366</v>
      </c>
      <c r="AF447" s="9" t="str">
        <f>IFERROR(MID(VLOOKUP($B447,Seqs!$A:$B,2,0),AG447,1),"")</f>
        <v>C</v>
      </c>
      <c r="AG447" s="9">
        <v>377</v>
      </c>
      <c r="AH447" s="9" t="str">
        <f>IFERROR(MID(VLOOKUP($B447,Seqs!$A:$B,2,0),AI447,1),"")</f>
        <v>V</v>
      </c>
      <c r="AI447" s="9">
        <v>379</v>
      </c>
      <c r="AJ447" s="9" t="str">
        <f>IFERROR(MID(VLOOKUP($B447,Seqs!$A:$B,2,0),AK447,1),"")</f>
        <v>N</v>
      </c>
      <c r="AK447" s="9">
        <v>383</v>
      </c>
      <c r="AL447" s="9" t="str">
        <f>IFERROR(MID(VLOOKUP($B447,Seqs!$A:$B,2,0),AM447,1),"")</f>
        <v>L</v>
      </c>
      <c r="AM447" s="9">
        <v>420</v>
      </c>
      <c r="AN447" s="9" t="str">
        <f>IFERROR(MID(VLOOKUP($B447,Seqs!$A:$B,2,0),AO447,1),"")</f>
        <v>E</v>
      </c>
      <c r="AO447" s="9">
        <v>431</v>
      </c>
      <c r="AP447" s="9" t="str">
        <f>IFERROR(MID(VLOOKUP($B447,Seqs!$A:$B,2,0),AQ447,1),"")</f>
        <v>N</v>
      </c>
      <c r="AQ447" s="9">
        <v>461</v>
      </c>
      <c r="AR447" s="9" t="str">
        <f>IFERROR(MID(VLOOKUP($B447,Seqs!$A:$B,2,0),AS447,1),"")</f>
        <v>N</v>
      </c>
      <c r="AS447" s="9">
        <v>473</v>
      </c>
      <c r="AT447" s="9" t="str">
        <f>IFERROR(MID(VLOOKUP($B447,Seqs!$A:$B,2,0),AU447,1),"")</f>
        <v>W</v>
      </c>
      <c r="AU447" s="9">
        <v>496</v>
      </c>
      <c r="AV447" s="9" t="str">
        <f>IFERROR(MID(VLOOKUP($B447,Seqs!$A:$B,2,0),AW447,1),"")</f>
        <v>S</v>
      </c>
      <c r="AW447" s="9">
        <v>497</v>
      </c>
      <c r="AX447" s="9" t="str">
        <f>IFERROR(MID(VLOOKUP($B447,Seqs!$A:$B,2,0),AY447,1),"")</f>
        <v>V</v>
      </c>
      <c r="AY447" s="9">
        <v>512</v>
      </c>
      <c r="AZ447" s="110" t="str">
        <f>VLOOKUP(B447,Classification!A:D,2,0)</f>
        <v>F</v>
      </c>
      <c r="BA447" s="98" t="str">
        <f>VLOOKUP(B447,Classification!A:D,4,0)</f>
        <v>Frizzled</v>
      </c>
      <c r="BB447" s="36" t="b">
        <f t="shared" ref="BB447:BB448" si="3997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109">
        <f t="shared" ref="BC447:BC448" si="3998">_xlfn.AGGREGATE(9,6,CH447:CS447)-_xlfn.AGGREGATE(9,6,BV447:CG447)+12</f>
        <v>237</v>
      </c>
      <c r="BD447" s="11" t="s">
        <v>23</v>
      </c>
      <c r="BE447" s="9" t="s">
        <v>23</v>
      </c>
      <c r="BF447" s="119" t="s">
        <v>23</v>
      </c>
      <c r="BG447" s="51" t="s">
        <v>23</v>
      </c>
      <c r="BH447" s="51" t="s">
        <v>23</v>
      </c>
      <c r="BI447" s="9"/>
      <c r="BJ447" s="111" t="s">
        <v>1281</v>
      </c>
      <c r="BK447" s="112" t="s">
        <v>1281</v>
      </c>
      <c r="BL447" s="112" t="s">
        <v>1281</v>
      </c>
      <c r="BM447" s="112" t="s">
        <v>1281</v>
      </c>
      <c r="BN447" s="112" t="s">
        <v>1281</v>
      </c>
      <c r="BO447" s="112" t="s">
        <v>1281</v>
      </c>
      <c r="BP447" s="112" t="s">
        <v>1281</v>
      </c>
      <c r="BQ447" s="112" t="s">
        <v>1281</v>
      </c>
      <c r="BR447" s="112" t="s">
        <v>1281</v>
      </c>
      <c r="BS447" s="112" t="s">
        <v>1281</v>
      </c>
      <c r="BT447" s="112" t="s">
        <v>1281</v>
      </c>
      <c r="BU447" s="112" t="s">
        <v>1281</v>
      </c>
      <c r="BV447" s="111">
        <f t="shared" ref="BV447:BV448" si="3999">E447</f>
        <v>212</v>
      </c>
      <c r="BW447" s="113">
        <f t="shared" ref="BW447:BW448" si="4000">I447</f>
        <v>245</v>
      </c>
      <c r="BX447" s="114">
        <f t="shared" ref="BX447:BX448" si="4001">M447</f>
        <v>250</v>
      </c>
      <c r="BY447" s="113" t="str">
        <f t="shared" ref="BY447:BY448" si="4002">Q447</f>
        <v>-</v>
      </c>
      <c r="BZ447" s="114">
        <f t="shared" ref="BZ447:BZ448" si="4003">U447</f>
        <v>299</v>
      </c>
      <c r="CA447" s="113" t="str">
        <f t="shared" ref="CA447:CA448" si="4004">Y447</f>
        <v>-</v>
      </c>
      <c r="CB447" s="114">
        <f t="shared" ref="CB447:CB448" si="4005">AC447</f>
        <v>343</v>
      </c>
      <c r="CC447" s="113">
        <f t="shared" ref="CC447:CC448" si="4006">AG447</f>
        <v>377</v>
      </c>
      <c r="CD447" s="114">
        <f t="shared" ref="CD447:CD448" si="4007">AK447</f>
        <v>383</v>
      </c>
      <c r="CE447" s="113">
        <f t="shared" ref="CE447:CE448" si="4008">AO447</f>
        <v>431</v>
      </c>
      <c r="CF447" s="114">
        <f t="shared" ref="CF447:CF448" si="4009">AS447</f>
        <v>473</v>
      </c>
      <c r="CG447" s="113">
        <f t="shared" ref="CG447:CG448" si="4010">AW447</f>
        <v>497</v>
      </c>
      <c r="CH447" s="111">
        <f t="shared" ref="CH447:CH448" si="4011">G447</f>
        <v>244</v>
      </c>
      <c r="CI447" s="113">
        <f t="shared" ref="CI447:CI448" si="4012">K447</f>
        <v>249</v>
      </c>
      <c r="CJ447" s="114">
        <f t="shared" ref="CJ447:CJ448" si="4013">O447</f>
        <v>276</v>
      </c>
      <c r="CK447" s="114" t="str">
        <f t="shared" ref="CK447:CK448" si="4014">S447</f>
        <v>-</v>
      </c>
      <c r="CL447" s="114">
        <f t="shared" ref="CL447:CL448" si="4015">W447</f>
        <v>332</v>
      </c>
      <c r="CM447" s="114" t="str">
        <f t="shared" ref="CM447:CM448" si="4016">AA447</f>
        <v>-</v>
      </c>
      <c r="CN447" s="114">
        <f t="shared" ref="CN447:CN448" si="4017">AE447</f>
        <v>366</v>
      </c>
      <c r="CO447" s="114">
        <f t="shared" ref="CO447:CO448" si="4018">AI447</f>
        <v>379</v>
      </c>
      <c r="CP447" s="114">
        <f t="shared" ref="CP447:CP448" si="4019">AM447</f>
        <v>420</v>
      </c>
      <c r="CQ447" s="114">
        <f t="shared" ref="CQ447:CQ448" si="4020">AQ447</f>
        <v>461</v>
      </c>
      <c r="CR447" s="114">
        <f t="shared" ref="CR447:CR448" si="4021">AU447</f>
        <v>496</v>
      </c>
      <c r="CS447" s="114">
        <f t="shared" ref="CS447:CS448" si="4022">AY447</f>
        <v>512</v>
      </c>
      <c r="CT447" s="109">
        <f t="shared" ref="CT447:CT448" si="4023">M447-K447</f>
        <v>1</v>
      </c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  <c r="AMO447" s="9"/>
      <c r="AMP447" s="9"/>
    </row>
    <row r="448" spans="1:1030" s="12" customFormat="1" x14ac:dyDescent="0.2">
      <c r="A448" s="9" t="str">
        <f t="shared" ref="A448" si="4024">CONCATENATE(B448,"_",C448)</f>
        <v>fzd4_human_6BD4</v>
      </c>
      <c r="B448" s="9" t="s">
        <v>444</v>
      </c>
      <c r="C448" s="9" t="s">
        <v>1548</v>
      </c>
      <c r="D448" s="9" t="str">
        <f>IFERROR(MID(VLOOKUP($B448,Seqs!$A:$B,2,0),E448,1),"")</f>
        <v>S</v>
      </c>
      <c r="E448" s="9">
        <v>212</v>
      </c>
      <c r="F448" s="9" t="str">
        <f>IFERROR(MID(VLOOKUP($B448,Seqs!$A:$B,2,0),G448,1),"")</f>
        <v>D</v>
      </c>
      <c r="G448" s="9">
        <v>244</v>
      </c>
      <c r="H448" s="9" t="str">
        <f>IFERROR(MID(VLOOKUP($B448,Seqs!$A:$B,2,0),I448,1),"")</f>
        <v>S</v>
      </c>
      <c r="I448" s="109">
        <v>245</v>
      </c>
      <c r="J448" s="9" t="str">
        <f>IFERROR(MID(VLOOKUP($B448,Seqs!$A:$B,2,0),K448,1),"")</f>
        <v>S</v>
      </c>
      <c r="K448" s="109">
        <v>249</v>
      </c>
      <c r="L448" s="9" t="str">
        <f>IFERROR(MID(VLOOKUP($B448,Seqs!$A:$B,2,0),M448,1),"")</f>
        <v>Y</v>
      </c>
      <c r="M448" s="9">
        <v>250</v>
      </c>
      <c r="N448" s="9" t="str">
        <f>IFERROR(MID(VLOOKUP($B448,Seqs!$A:$B,2,0),O448,1),"")</f>
        <v>G</v>
      </c>
      <c r="O448" s="9">
        <v>276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N</v>
      </c>
      <c r="U448" s="9">
        <v>299</v>
      </c>
      <c r="V448" s="9" t="str">
        <f>IFERROR(MID(VLOOKUP($B448,Seqs!$A:$B,2,0),W448,1),"")</f>
        <v>G</v>
      </c>
      <c r="W448" s="9">
        <v>332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H</v>
      </c>
      <c r="AC448" s="9">
        <v>343</v>
      </c>
      <c r="AD448" s="9" t="str">
        <f>IFERROR(MID(VLOOKUP($B448,Seqs!$A:$B,2,0),AE448,1),"")</f>
        <v>R</v>
      </c>
      <c r="AE448" s="9">
        <v>366</v>
      </c>
      <c r="AF448" s="9" t="str">
        <f>IFERROR(MID(VLOOKUP($B448,Seqs!$A:$B,2,0),AG448,1),"")</f>
        <v>C</v>
      </c>
      <c r="AG448" s="9">
        <v>377</v>
      </c>
      <c r="AH448" s="9" t="str">
        <f>IFERROR(MID(VLOOKUP($B448,Seqs!$A:$B,2,0),AI448,1),"")</f>
        <v>V</v>
      </c>
      <c r="AI448" s="9">
        <v>379</v>
      </c>
      <c r="AJ448" s="9" t="str">
        <f>IFERROR(MID(VLOOKUP($B448,Seqs!$A:$B,2,0),AK448,1),"")</f>
        <v>N</v>
      </c>
      <c r="AK448" s="9">
        <v>383</v>
      </c>
      <c r="AL448" s="9" t="str">
        <f>IFERROR(MID(VLOOKUP($B448,Seqs!$A:$B,2,0),AM448,1),"")</f>
        <v>S</v>
      </c>
      <c r="AM448" s="9">
        <v>418</v>
      </c>
      <c r="AN448" s="9" t="str">
        <f>IFERROR(MID(VLOOKUP($B448,Seqs!$A:$B,2,0),AO448,1),"")</f>
        <v>E</v>
      </c>
      <c r="AO448" s="9">
        <v>431</v>
      </c>
      <c r="AP448" s="9" t="str">
        <f>IFERROR(MID(VLOOKUP($B448,Seqs!$A:$B,2,0),AQ448,1),"")</f>
        <v>N</v>
      </c>
      <c r="AQ448" s="9">
        <v>461</v>
      </c>
      <c r="AR448" s="9" t="str">
        <f>IFERROR(MID(VLOOKUP($B448,Seqs!$A:$B,2,0),AS448,1),"")</f>
        <v>N</v>
      </c>
      <c r="AS448" s="9">
        <v>473</v>
      </c>
      <c r="AT448" s="9" t="str">
        <f>IFERROR(MID(VLOOKUP($B448,Seqs!$A:$B,2,0),AU448,1),"")</f>
        <v>W</v>
      </c>
      <c r="AU448" s="9">
        <v>496</v>
      </c>
      <c r="AV448" s="9" t="str">
        <f>IFERROR(MID(VLOOKUP($B448,Seqs!$A:$B,2,0),AW448,1),"")</f>
        <v>S</v>
      </c>
      <c r="AW448" s="9">
        <v>497</v>
      </c>
      <c r="AX448" s="9" t="str">
        <f>IFERROR(MID(VLOOKUP($B448,Seqs!$A:$B,2,0),AY448,1),"")</f>
        <v>V</v>
      </c>
      <c r="AY448" s="9">
        <v>512</v>
      </c>
      <c r="AZ448" s="110" t="str">
        <f>VLOOKUP(B448,Classification!A:D,2,0)</f>
        <v>F</v>
      </c>
      <c r="BA448" s="98" t="str">
        <f>VLOOKUP(B448,Classification!A:D,4,0)</f>
        <v>Frizzled</v>
      </c>
      <c r="BB448" s="36" t="b">
        <f t="shared" si="3997"/>
        <v>1</v>
      </c>
      <c r="BC448" s="109">
        <f t="shared" si="3998"/>
        <v>235</v>
      </c>
      <c r="BD448" s="11" t="s">
        <v>1370</v>
      </c>
      <c r="BE448" s="9" t="s">
        <v>1368</v>
      </c>
      <c r="BF448" s="119">
        <v>2.4</v>
      </c>
      <c r="BG448" s="51" t="s">
        <v>1</v>
      </c>
      <c r="BH448" s="51" t="s">
        <v>1</v>
      </c>
      <c r="BI448" s="9"/>
      <c r="BJ448" s="111" t="s">
        <v>1281</v>
      </c>
      <c r="BK448" s="112" t="s">
        <v>1281</v>
      </c>
      <c r="BL448" s="112" t="s">
        <v>1281</v>
      </c>
      <c r="BM448" s="112" t="s">
        <v>1281</v>
      </c>
      <c r="BN448" s="112" t="s">
        <v>1281</v>
      </c>
      <c r="BO448" s="112" t="s">
        <v>1281</v>
      </c>
      <c r="BP448" s="112" t="s">
        <v>1281</v>
      </c>
      <c r="BQ448" s="112" t="s">
        <v>1281</v>
      </c>
      <c r="BR448" s="112" t="s">
        <v>1281</v>
      </c>
      <c r="BS448" s="112" t="s">
        <v>1281</v>
      </c>
      <c r="BT448" s="112" t="s">
        <v>1281</v>
      </c>
      <c r="BU448" s="112" t="s">
        <v>1281</v>
      </c>
      <c r="BV448" s="111">
        <f t="shared" si="3999"/>
        <v>212</v>
      </c>
      <c r="BW448" s="113">
        <f t="shared" si="4000"/>
        <v>245</v>
      </c>
      <c r="BX448" s="114">
        <f t="shared" si="4001"/>
        <v>250</v>
      </c>
      <c r="BY448" s="113" t="str">
        <f t="shared" si="4002"/>
        <v>-</v>
      </c>
      <c r="BZ448" s="114">
        <f t="shared" si="4003"/>
        <v>299</v>
      </c>
      <c r="CA448" s="113" t="str">
        <f t="shared" si="4004"/>
        <v>-</v>
      </c>
      <c r="CB448" s="114">
        <f t="shared" si="4005"/>
        <v>343</v>
      </c>
      <c r="CC448" s="113">
        <f t="shared" si="4006"/>
        <v>377</v>
      </c>
      <c r="CD448" s="114">
        <f t="shared" si="4007"/>
        <v>383</v>
      </c>
      <c r="CE448" s="113">
        <f t="shared" si="4008"/>
        <v>431</v>
      </c>
      <c r="CF448" s="114">
        <f t="shared" si="4009"/>
        <v>473</v>
      </c>
      <c r="CG448" s="113">
        <f t="shared" si="4010"/>
        <v>497</v>
      </c>
      <c r="CH448" s="111">
        <f t="shared" si="4011"/>
        <v>244</v>
      </c>
      <c r="CI448" s="113">
        <f t="shared" si="4012"/>
        <v>249</v>
      </c>
      <c r="CJ448" s="114">
        <f t="shared" si="4013"/>
        <v>276</v>
      </c>
      <c r="CK448" s="114" t="str">
        <f t="shared" si="4014"/>
        <v>-</v>
      </c>
      <c r="CL448" s="114">
        <f t="shared" si="4015"/>
        <v>332</v>
      </c>
      <c r="CM448" s="114" t="str">
        <f t="shared" si="4016"/>
        <v>-</v>
      </c>
      <c r="CN448" s="114">
        <f t="shared" si="4017"/>
        <v>366</v>
      </c>
      <c r="CO448" s="114">
        <f t="shared" si="4018"/>
        <v>379</v>
      </c>
      <c r="CP448" s="114">
        <f t="shared" si="4019"/>
        <v>418</v>
      </c>
      <c r="CQ448" s="114">
        <f t="shared" si="4020"/>
        <v>461</v>
      </c>
      <c r="CR448" s="114">
        <f t="shared" si="4021"/>
        <v>496</v>
      </c>
      <c r="CS448" s="114">
        <f t="shared" si="4022"/>
        <v>512</v>
      </c>
      <c r="CT448" s="109">
        <f t="shared" si="4023"/>
        <v>1</v>
      </c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  <c r="AMO448" s="9"/>
      <c r="AMP448" s="9"/>
    </row>
    <row r="449" spans="1:1030" x14ac:dyDescent="0.2">
      <c r="A449" s="3" t="str">
        <f t="shared" si="3603"/>
        <v>smo_human__wt</v>
      </c>
      <c r="B449" s="3" t="s">
        <v>33</v>
      </c>
      <c r="C449" s="3" t="s">
        <v>100</v>
      </c>
      <c r="D449" s="3" t="str">
        <f>IFERROR(MID(VLOOKUP($B449,Seqs!$A:$B,2,0),E449,1),"")</f>
        <v>T</v>
      </c>
      <c r="E449" s="105">
        <v>223</v>
      </c>
      <c r="F449" s="3" t="str">
        <f>IFERROR(MID(VLOOKUP($B449,Seqs!$A:$B,2,0),G449,1),"")</f>
        <v>D</v>
      </c>
      <c r="G449" s="3">
        <v>255</v>
      </c>
      <c r="H449" s="3" t="str">
        <f>IFERROR(MID(VLOOKUP($B449,Seqs!$A:$B,2,0),I449,1),"")</f>
        <v>W</v>
      </c>
      <c r="I449" s="23">
        <v>256</v>
      </c>
      <c r="J449" s="3" t="str">
        <f>IFERROR(MID(VLOOKUP($B449,Seqs!$A:$B,2,0),K449,1),"")</f>
        <v>N</v>
      </c>
      <c r="K449" s="23">
        <v>260</v>
      </c>
      <c r="L449" s="3" t="str">
        <f>IFERROR(MID(VLOOKUP($B449,Seqs!$A:$B,2,0),M449,1),"")</f>
        <v>R</v>
      </c>
      <c r="M449" s="3">
        <v>261</v>
      </c>
      <c r="N449" s="3" t="str">
        <f>IFERROR(MID(VLOOKUP($B449,Seqs!$A:$B,2,0),O449,1),"")</f>
        <v>F</v>
      </c>
      <c r="O449" s="3">
        <v>285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312</v>
      </c>
      <c r="V449" s="3" t="str">
        <f>IFERROR(MID(VLOOKUP($B449,Seqs!$A:$B,2,0),W449,1),"")</f>
        <v>A</v>
      </c>
      <c r="W449" s="105">
        <v>345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K</v>
      </c>
      <c r="AC449" s="9">
        <v>356</v>
      </c>
      <c r="AD449" s="3" t="str">
        <f>IFERROR(MID(VLOOKUP($B449,Seqs!$A:$B,2,0),AE449,1),"")</f>
        <v>A</v>
      </c>
      <c r="AE449" s="105">
        <v>379</v>
      </c>
      <c r="AF449" s="3" t="str">
        <f>IFERROR(MID(VLOOKUP($B449,Seqs!$A:$B,2,0),AG449,1),"")</f>
        <v>C</v>
      </c>
      <c r="AG449" s="3">
        <v>390</v>
      </c>
      <c r="AH449" s="3" t="str">
        <f>IFERROR(MID(VLOOKUP($B449,Seqs!$A:$B,2,0),AI449,1),"")</f>
        <v>V</v>
      </c>
      <c r="AI449" s="3">
        <v>392</v>
      </c>
      <c r="AJ449" s="3" t="str">
        <f>IFERROR(MID(VLOOKUP($B449,Seqs!$A:$B,2,0),AK449,1),"")</f>
        <v>N</v>
      </c>
      <c r="AK449" s="105">
        <v>396</v>
      </c>
      <c r="AL449" s="3" t="str">
        <f>IFERROR(MID(VLOOKUP($B449,Seqs!$A:$B,2,0),AM449,1),"")</f>
        <v>H</v>
      </c>
      <c r="AM449" s="3">
        <v>433</v>
      </c>
      <c r="AN449" s="3" t="str">
        <f>IFERROR(MID(VLOOKUP($B449,Seqs!$A:$B,2,0),AO449,1),"")</f>
        <v>S</v>
      </c>
      <c r="AO449" s="105">
        <v>438</v>
      </c>
      <c r="AP449" s="3" t="str">
        <f>IFERROR(MID(VLOOKUP($B449,Seqs!$A:$B,2,0),AQ449,1),"")</f>
        <v>I</v>
      </c>
      <c r="AQ449" s="3">
        <v>496</v>
      </c>
      <c r="AR449" s="3" t="str">
        <f>IFERROR(MID(VLOOKUP($B449,Seqs!$A:$B,2,0),AS449,1),"")</f>
        <v>S</v>
      </c>
      <c r="AS449" s="105">
        <v>514</v>
      </c>
      <c r="AT449" s="3" t="str">
        <f>IFERROR(MID(VLOOKUP($B449,Seqs!$A:$B,2,0),AU449,1),"")</f>
        <v>W</v>
      </c>
      <c r="AU449" s="3">
        <v>537</v>
      </c>
      <c r="AV449" s="3" t="str">
        <f>IFERROR(MID(VLOOKUP($B449,Seqs!$A:$B,2,0),AW449,1),"")</f>
        <v>T</v>
      </c>
      <c r="AW449" s="3">
        <v>538</v>
      </c>
      <c r="AX449" s="3" t="str">
        <f>IFERROR(MID(VLOOKUP($B449,Seqs!$A:$B,2,0),AY449,1),"")</f>
        <v>T</v>
      </c>
      <c r="AY449" s="3">
        <v>553</v>
      </c>
      <c r="AZ449" s="77" t="str">
        <f>VLOOKUP(B449,Classification!A:D,2,0)</f>
        <v>F</v>
      </c>
      <c r="BA449" s="94" t="str">
        <f>VLOOKUP(B449,Classification!A:D,4,0)</f>
        <v>Frizzled</v>
      </c>
      <c r="BB449" s="27" t="b">
        <f t="shared" si="3604"/>
        <v>1</v>
      </c>
      <c r="BC449" s="23">
        <f t="shared" si="3549"/>
        <v>263</v>
      </c>
      <c r="BD449" s="56" t="s">
        <v>23</v>
      </c>
      <c r="BE449" s="3" t="s">
        <v>23</v>
      </c>
      <c r="BF449" s="118" t="s">
        <v>23</v>
      </c>
      <c r="BG449" s="49" t="s">
        <v>1366</v>
      </c>
      <c r="BH449" s="49" t="s">
        <v>1371</v>
      </c>
      <c r="BJ449" s="70" t="s">
        <v>1281</v>
      </c>
      <c r="BK449" s="57" t="s">
        <v>1281</v>
      </c>
      <c r="BL449" s="57" t="s">
        <v>1281</v>
      </c>
      <c r="BM449" s="57" t="s">
        <v>1281</v>
      </c>
      <c r="BN449" s="57" t="s">
        <v>1281</v>
      </c>
      <c r="BO449" s="57" t="s">
        <v>1281</v>
      </c>
      <c r="BP449" s="57" t="s">
        <v>1281</v>
      </c>
      <c r="BQ449" s="57" t="s">
        <v>1281</v>
      </c>
      <c r="BR449" s="57" t="s">
        <v>1281</v>
      </c>
      <c r="BS449" s="57" t="s">
        <v>1281</v>
      </c>
      <c r="BT449" s="57" t="s">
        <v>1281</v>
      </c>
      <c r="BU449" s="57" t="s">
        <v>1281</v>
      </c>
      <c r="BV449" s="70">
        <f t="shared" si="3550"/>
        <v>223</v>
      </c>
      <c r="BW449" s="71">
        <f t="shared" si="3551"/>
        <v>256</v>
      </c>
      <c r="BX449" s="72">
        <f t="shared" si="3552"/>
        <v>261</v>
      </c>
      <c r="BY449" s="71" t="str">
        <f t="shared" si="3553"/>
        <v>-</v>
      </c>
      <c r="BZ449" s="72">
        <f t="shared" si="3554"/>
        <v>312</v>
      </c>
      <c r="CA449" s="71" t="str">
        <f t="shared" si="3555"/>
        <v>-</v>
      </c>
      <c r="CB449" s="72">
        <f t="shared" si="3556"/>
        <v>356</v>
      </c>
      <c r="CC449" s="71">
        <f t="shared" si="3557"/>
        <v>390</v>
      </c>
      <c r="CD449" s="72">
        <f t="shared" si="3558"/>
        <v>396</v>
      </c>
      <c r="CE449" s="71">
        <f t="shared" si="3559"/>
        <v>438</v>
      </c>
      <c r="CF449" s="72">
        <f t="shared" si="3560"/>
        <v>514</v>
      </c>
      <c r="CG449" s="71">
        <f t="shared" si="3561"/>
        <v>538</v>
      </c>
      <c r="CH449" s="70">
        <f t="shared" si="3562"/>
        <v>255</v>
      </c>
      <c r="CI449" s="71">
        <f t="shared" si="3563"/>
        <v>260</v>
      </c>
      <c r="CJ449" s="72">
        <f t="shared" si="3564"/>
        <v>285</v>
      </c>
      <c r="CK449" s="72" t="str">
        <f t="shared" si="3565"/>
        <v>-</v>
      </c>
      <c r="CL449" s="72">
        <f t="shared" si="3566"/>
        <v>345</v>
      </c>
      <c r="CM449" s="72" t="str">
        <f t="shared" si="3567"/>
        <v>-</v>
      </c>
      <c r="CN449" s="72">
        <f t="shared" si="3568"/>
        <v>379</v>
      </c>
      <c r="CO449" s="72">
        <f t="shared" si="3569"/>
        <v>392</v>
      </c>
      <c r="CP449" s="72">
        <f t="shared" si="3570"/>
        <v>433</v>
      </c>
      <c r="CQ449" s="72">
        <f t="shared" si="3571"/>
        <v>496</v>
      </c>
      <c r="CR449" s="72">
        <f t="shared" si="3572"/>
        <v>537</v>
      </c>
      <c r="CS449" s="72">
        <f t="shared" si="3573"/>
        <v>553</v>
      </c>
      <c r="CT449" s="23">
        <f t="shared" si="3574"/>
        <v>1</v>
      </c>
    </row>
    <row r="450" spans="1:1030" x14ac:dyDescent="0.2">
      <c r="A450" s="3" t="str">
        <f t="shared" si="3603"/>
        <v>smo_human_4JKV</v>
      </c>
      <c r="B450" s="3" t="s">
        <v>33</v>
      </c>
      <c r="C450" s="3" t="s">
        <v>86</v>
      </c>
      <c r="D450" s="3" t="str">
        <f>IFERROR(MID(VLOOKUP($B450,Seqs!$A:$B,2,0),E450,1),"")</f>
        <v>T</v>
      </c>
      <c r="E450" s="105">
        <v>223</v>
      </c>
      <c r="F450" s="3" t="str">
        <f>IFERROR(MID(VLOOKUP($B450,Seqs!$A:$B,2,0),G450,1),"")</f>
        <v>D</v>
      </c>
      <c r="G450" s="3">
        <v>255</v>
      </c>
      <c r="H450" s="3" t="str">
        <f>IFERROR(MID(VLOOKUP($B450,Seqs!$A:$B,2,0),I450,1),"")</f>
        <v>W</v>
      </c>
      <c r="I450" s="23">
        <v>256</v>
      </c>
      <c r="J450" s="3" t="str">
        <f>IFERROR(MID(VLOOKUP($B450,Seqs!$A:$B,2,0),K450,1),"")</f>
        <v>N</v>
      </c>
      <c r="K450" s="23">
        <v>260</v>
      </c>
      <c r="L450" s="3" t="str">
        <f>IFERROR(MID(VLOOKUP($B450,Seqs!$A:$B,2,0),M450,1),"")</f>
        <v>R</v>
      </c>
      <c r="M450" s="3">
        <v>261</v>
      </c>
      <c r="N450" s="3" t="str">
        <f>IFERROR(MID(VLOOKUP($B450,Seqs!$A:$B,2,0),O450,1),"")</f>
        <v>F</v>
      </c>
      <c r="O450" s="3">
        <v>285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312</v>
      </c>
      <c r="V450" s="3" t="str">
        <f>IFERROR(MID(VLOOKUP($B450,Seqs!$A:$B,2,0),W450,1),"")</f>
        <v>T</v>
      </c>
      <c r="W450" s="3">
        <v>348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9">
        <v>360</v>
      </c>
      <c r="AD450" s="3" t="str">
        <f>IFERROR(MID(VLOOKUP($B450,Seqs!$A:$B,2,0),AE450,1),"")</f>
        <v>A</v>
      </c>
      <c r="AE450" s="3">
        <v>379</v>
      </c>
      <c r="AF450" s="3" t="str">
        <f>IFERROR(MID(VLOOKUP($B450,Seqs!$A:$B,2,0),AG450,1),"")</f>
        <v>C</v>
      </c>
      <c r="AG450" s="3">
        <v>390</v>
      </c>
      <c r="AH450" s="3" t="str">
        <f>IFERROR(MID(VLOOKUP($B450,Seqs!$A:$B,2,0),AI450,1),"")</f>
        <v>V</v>
      </c>
      <c r="AI450" s="3">
        <v>392</v>
      </c>
      <c r="AJ450" s="3" t="str">
        <f>IFERROR(MID(VLOOKUP($B450,Seqs!$A:$B,2,0),AK450,1),"")</f>
        <v>N</v>
      </c>
      <c r="AK450" s="105">
        <v>396</v>
      </c>
      <c r="AL450" s="3" t="str">
        <f>IFERROR(MID(VLOOKUP($B450,Seqs!$A:$B,2,0),AM450,1),"")</f>
        <v>H</v>
      </c>
      <c r="AM450" s="3">
        <v>433</v>
      </c>
      <c r="AN450" s="3" t="str">
        <f>IFERROR(MID(VLOOKUP($B450,Seqs!$A:$B,2,0),AO450,1),"")</f>
        <v>A</v>
      </c>
      <c r="AO450" s="3">
        <v>442</v>
      </c>
      <c r="AP450" s="3" t="str">
        <f>IFERROR(MID(VLOOKUP($B450,Seqs!$A:$B,2,0),AQ450,1),"")</f>
        <v>N</v>
      </c>
      <c r="AQ450" s="3">
        <v>493</v>
      </c>
      <c r="AR450" s="3" t="str">
        <f>IFERROR(MID(VLOOKUP($B450,Seqs!$A:$B,2,0),AS450,1),"")</f>
        <v>S</v>
      </c>
      <c r="AS450" s="105">
        <v>514</v>
      </c>
      <c r="AT450" s="3" t="str">
        <f>IFERROR(MID(VLOOKUP($B450,Seqs!$A:$B,2,0),AU450,1),"")</f>
        <v>W</v>
      </c>
      <c r="AU450" s="3">
        <v>537</v>
      </c>
      <c r="AV450" s="3" t="str">
        <f>IFERROR(MID(VLOOKUP($B450,Seqs!$A:$B,2,0),AW450,1),"")</f>
        <v>T</v>
      </c>
      <c r="AW450" s="3">
        <v>538</v>
      </c>
      <c r="AX450" s="3" t="str">
        <f>IFERROR(MID(VLOOKUP($B450,Seqs!$A:$B,2,0),AY450,1),"")</f>
        <v>C</v>
      </c>
      <c r="AY450" s="3">
        <v>550</v>
      </c>
      <c r="AZ450" s="77" t="str">
        <f>VLOOKUP(B450,Classification!A:D,2,0)</f>
        <v>F</v>
      </c>
      <c r="BA450" s="94" t="str">
        <f>VLOOKUP(B450,Classification!A:D,4,0)</f>
        <v>Frizzled</v>
      </c>
      <c r="BB450" s="27" t="b">
        <f t="shared" si="3604"/>
        <v>1</v>
      </c>
      <c r="BC450" s="23">
        <f t="shared" si="3549"/>
        <v>252</v>
      </c>
      <c r="BD450" s="4" t="s">
        <v>23</v>
      </c>
      <c r="BE450" s="3" t="s">
        <v>1368</v>
      </c>
      <c r="BF450" s="118">
        <v>2.4500000000000002</v>
      </c>
      <c r="BG450" s="49" t="s">
        <v>1371</v>
      </c>
      <c r="BH450" s="49" t="s">
        <v>1371</v>
      </c>
      <c r="BJ450" s="70" t="s">
        <v>1281</v>
      </c>
      <c r="BK450" s="57" t="s">
        <v>1281</v>
      </c>
      <c r="BL450" s="57" t="s">
        <v>1281</v>
      </c>
      <c r="BM450" s="57" t="s">
        <v>1281</v>
      </c>
      <c r="BN450" s="57" t="s">
        <v>1281</v>
      </c>
      <c r="BO450" s="57" t="s">
        <v>1281</v>
      </c>
      <c r="BP450" s="57" t="s">
        <v>1281</v>
      </c>
      <c r="BQ450" s="57" t="s">
        <v>1281</v>
      </c>
      <c r="BR450" s="57" t="s">
        <v>1281</v>
      </c>
      <c r="BS450" s="57" t="s">
        <v>1281</v>
      </c>
      <c r="BT450" s="57" t="s">
        <v>1281</v>
      </c>
      <c r="BU450" s="57" t="s">
        <v>1281</v>
      </c>
      <c r="BV450" s="70">
        <f t="shared" si="3550"/>
        <v>223</v>
      </c>
      <c r="BW450" s="71">
        <f t="shared" si="3551"/>
        <v>256</v>
      </c>
      <c r="BX450" s="72">
        <f t="shared" si="3552"/>
        <v>261</v>
      </c>
      <c r="BY450" s="71" t="str">
        <f t="shared" si="3553"/>
        <v>-</v>
      </c>
      <c r="BZ450" s="72">
        <f t="shared" si="3554"/>
        <v>312</v>
      </c>
      <c r="CA450" s="71" t="str">
        <f t="shared" si="3555"/>
        <v>-</v>
      </c>
      <c r="CB450" s="72">
        <f t="shared" si="3556"/>
        <v>360</v>
      </c>
      <c r="CC450" s="71">
        <f t="shared" si="3557"/>
        <v>390</v>
      </c>
      <c r="CD450" s="72">
        <f t="shared" si="3558"/>
        <v>396</v>
      </c>
      <c r="CE450" s="71">
        <f t="shared" si="3559"/>
        <v>442</v>
      </c>
      <c r="CF450" s="72">
        <f t="shared" si="3560"/>
        <v>514</v>
      </c>
      <c r="CG450" s="71">
        <f t="shared" si="3561"/>
        <v>538</v>
      </c>
      <c r="CH450" s="70">
        <f t="shared" si="3562"/>
        <v>255</v>
      </c>
      <c r="CI450" s="71">
        <f t="shared" si="3563"/>
        <v>260</v>
      </c>
      <c r="CJ450" s="72">
        <f t="shared" si="3564"/>
        <v>285</v>
      </c>
      <c r="CK450" s="72" t="str">
        <f t="shared" si="3565"/>
        <v>-</v>
      </c>
      <c r="CL450" s="72">
        <f t="shared" si="3566"/>
        <v>348</v>
      </c>
      <c r="CM450" s="72" t="str">
        <f t="shared" si="3567"/>
        <v>-</v>
      </c>
      <c r="CN450" s="72">
        <f t="shared" si="3568"/>
        <v>379</v>
      </c>
      <c r="CO450" s="72">
        <f t="shared" si="3569"/>
        <v>392</v>
      </c>
      <c r="CP450" s="72">
        <f t="shared" si="3570"/>
        <v>433</v>
      </c>
      <c r="CQ450" s="72">
        <f t="shared" si="3571"/>
        <v>493</v>
      </c>
      <c r="CR450" s="72">
        <f t="shared" si="3572"/>
        <v>537</v>
      </c>
      <c r="CS450" s="72">
        <f t="shared" si="3573"/>
        <v>550</v>
      </c>
      <c r="CT450" s="23">
        <f t="shared" si="3574"/>
        <v>1</v>
      </c>
    </row>
    <row r="451" spans="1:1030" x14ac:dyDescent="0.2">
      <c r="A451" s="3" t="str">
        <f t="shared" si="3603"/>
        <v>smo_human_4N4W</v>
      </c>
      <c r="B451" s="3" t="s">
        <v>33</v>
      </c>
      <c r="C451" s="3" t="s">
        <v>1041</v>
      </c>
      <c r="D451" s="3" t="str">
        <f>IFERROR(MID(VLOOKUP($B451,Seqs!$A:$B,2,0),E451,1),"")</f>
        <v>T</v>
      </c>
      <c r="E451" s="105">
        <v>223</v>
      </c>
      <c r="F451" s="3" t="str">
        <f>IFERROR(MID(VLOOKUP($B451,Seqs!$A:$B,2,0),G451,1),"")</f>
        <v>D</v>
      </c>
      <c r="G451" s="3">
        <v>255</v>
      </c>
      <c r="H451" s="3" t="str">
        <f>IFERROR(MID(VLOOKUP($B451,Seqs!$A:$B,2,0),I451,1),"")</f>
        <v>W</v>
      </c>
      <c r="I451" s="23">
        <v>256</v>
      </c>
      <c r="J451" s="3" t="str">
        <f>IFERROR(MID(VLOOKUP($B451,Seqs!$A:$B,2,0),K451,1),"")</f>
        <v>N</v>
      </c>
      <c r="K451" s="23">
        <v>260</v>
      </c>
      <c r="L451" s="3" t="str">
        <f>IFERROR(MID(VLOOKUP($B451,Seqs!$A:$B,2,0),M451,1),"")</f>
        <v>R</v>
      </c>
      <c r="M451" s="3">
        <v>261</v>
      </c>
      <c r="N451" s="3" t="str">
        <f>IFERROR(MID(VLOOKUP($B451,Seqs!$A:$B,2,0),O451,1),"")</f>
        <v>F</v>
      </c>
      <c r="O451" s="3">
        <v>285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312</v>
      </c>
      <c r="V451" s="3" t="str">
        <f>IFERROR(MID(VLOOKUP($B451,Seqs!$A:$B,2,0),W451,1),"")</f>
        <v>A</v>
      </c>
      <c r="W451" s="3">
        <v>345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K</v>
      </c>
      <c r="AC451" s="9">
        <v>356</v>
      </c>
      <c r="AD451" s="3" t="str">
        <f>IFERROR(MID(VLOOKUP($B451,Seqs!$A:$B,2,0),AE451,1),"")</f>
        <v>V</v>
      </c>
      <c r="AE451" s="3">
        <v>378</v>
      </c>
      <c r="AF451" s="3" t="str">
        <f>IFERROR(MID(VLOOKUP($B451,Seqs!$A:$B,2,0),AG451,1),"")</f>
        <v>C</v>
      </c>
      <c r="AG451" s="3">
        <v>390</v>
      </c>
      <c r="AH451" s="3" t="str">
        <f>IFERROR(MID(VLOOKUP($B451,Seqs!$A:$B,2,0),AI451,1),"")</f>
        <v>V</v>
      </c>
      <c r="AI451" s="3">
        <v>392</v>
      </c>
      <c r="AJ451" s="3" t="str">
        <f>IFERROR(MID(VLOOKUP($B451,Seqs!$A:$B,2,0),AK451,1),"")</f>
        <v>N</v>
      </c>
      <c r="AK451" s="105">
        <v>396</v>
      </c>
      <c r="AL451" s="3" t="str">
        <f>IFERROR(MID(VLOOKUP($B451,Seqs!$A:$B,2,0),AM451,1),"")</f>
        <v>H</v>
      </c>
      <c r="AM451" s="3">
        <v>433</v>
      </c>
      <c r="AN451" s="3" t="str">
        <f>IFERROR(MID(VLOOKUP($B451,Seqs!$A:$B,2,0),AO451,1),"")</f>
        <v>S</v>
      </c>
      <c r="AO451" s="3">
        <v>443</v>
      </c>
      <c r="AP451" s="3" t="str">
        <f>IFERROR(MID(VLOOKUP($B451,Seqs!$A:$B,2,0),AQ451,1),"")</f>
        <v>Q</v>
      </c>
      <c r="AQ451" s="3">
        <v>491</v>
      </c>
      <c r="AR451" s="3" t="str">
        <f>IFERROR(MID(VLOOKUP($B451,Seqs!$A:$B,2,0),AS451,1),"")</f>
        <v>S</v>
      </c>
      <c r="AS451" s="105">
        <v>514</v>
      </c>
      <c r="AT451" s="3" t="str">
        <f>IFERROR(MID(VLOOKUP($B451,Seqs!$A:$B,2,0),AU451,1),"")</f>
        <v>W</v>
      </c>
      <c r="AU451" s="3">
        <v>537</v>
      </c>
      <c r="AV451" s="3" t="str">
        <f>IFERROR(MID(VLOOKUP($B451,Seqs!$A:$B,2,0),AW451,1),"")</f>
        <v>T</v>
      </c>
      <c r="AW451" s="3">
        <v>538</v>
      </c>
      <c r="AX451" s="3" t="str">
        <f>IFERROR(MID(VLOOKUP($B451,Seqs!$A:$B,2,0),AY451,1),"")</f>
        <v>L</v>
      </c>
      <c r="AY451" s="3">
        <v>552</v>
      </c>
      <c r="AZ451" s="77" t="str">
        <f>VLOOKUP(B451,Classification!A:D,2,0)</f>
        <v>F</v>
      </c>
      <c r="BA451" s="94" t="str">
        <f>VLOOKUP(B451,Classification!A:D,4,0)</f>
        <v>Frizzled</v>
      </c>
      <c r="BB451" s="27" t="b">
        <f t="shared" si="3604"/>
        <v>1</v>
      </c>
      <c r="BC451" s="23">
        <f t="shared" si="3549"/>
        <v>251</v>
      </c>
      <c r="BD451" s="2" t="s">
        <v>23</v>
      </c>
      <c r="BE451" s="3" t="s">
        <v>1368</v>
      </c>
      <c r="BF451" s="118">
        <v>2.8</v>
      </c>
      <c r="BG451" s="49" t="s">
        <v>1371</v>
      </c>
      <c r="BH451" s="49" t="s">
        <v>1371</v>
      </c>
      <c r="BJ451" s="70" t="s">
        <v>1281</v>
      </c>
      <c r="BK451" s="57" t="s">
        <v>1281</v>
      </c>
      <c r="BL451" s="57" t="s">
        <v>1281</v>
      </c>
      <c r="BM451" s="57" t="s">
        <v>1281</v>
      </c>
      <c r="BN451" s="57" t="s">
        <v>1281</v>
      </c>
      <c r="BO451" s="57" t="s">
        <v>1281</v>
      </c>
      <c r="BP451" s="57" t="s">
        <v>1281</v>
      </c>
      <c r="BQ451" s="57" t="s">
        <v>1281</v>
      </c>
      <c r="BR451" s="57" t="s">
        <v>1281</v>
      </c>
      <c r="BS451" s="57" t="s">
        <v>1281</v>
      </c>
      <c r="BT451" s="57" t="s">
        <v>1281</v>
      </c>
      <c r="BU451" s="57" t="s">
        <v>1281</v>
      </c>
      <c r="BV451" s="70">
        <f t="shared" si="3550"/>
        <v>223</v>
      </c>
      <c r="BW451" s="71">
        <f t="shared" si="3551"/>
        <v>256</v>
      </c>
      <c r="BX451" s="72">
        <f t="shared" si="3552"/>
        <v>261</v>
      </c>
      <c r="BY451" s="71" t="str">
        <f t="shared" si="3553"/>
        <v>-</v>
      </c>
      <c r="BZ451" s="72">
        <f t="shared" si="3554"/>
        <v>312</v>
      </c>
      <c r="CA451" s="71" t="str">
        <f t="shared" si="3555"/>
        <v>-</v>
      </c>
      <c r="CB451" s="72">
        <f t="shared" si="3556"/>
        <v>356</v>
      </c>
      <c r="CC451" s="71">
        <f t="shared" si="3557"/>
        <v>390</v>
      </c>
      <c r="CD451" s="72">
        <f t="shared" si="3558"/>
        <v>396</v>
      </c>
      <c r="CE451" s="71">
        <f t="shared" si="3559"/>
        <v>443</v>
      </c>
      <c r="CF451" s="72">
        <f t="shared" si="3560"/>
        <v>514</v>
      </c>
      <c r="CG451" s="71">
        <f t="shared" si="3561"/>
        <v>538</v>
      </c>
      <c r="CH451" s="70">
        <f t="shared" si="3562"/>
        <v>255</v>
      </c>
      <c r="CI451" s="71">
        <f t="shared" si="3563"/>
        <v>260</v>
      </c>
      <c r="CJ451" s="72">
        <f t="shared" si="3564"/>
        <v>285</v>
      </c>
      <c r="CK451" s="72" t="str">
        <f t="shared" si="3565"/>
        <v>-</v>
      </c>
      <c r="CL451" s="72">
        <f t="shared" si="3566"/>
        <v>345</v>
      </c>
      <c r="CM451" s="72" t="str">
        <f t="shared" si="3567"/>
        <v>-</v>
      </c>
      <c r="CN451" s="72">
        <f t="shared" si="3568"/>
        <v>378</v>
      </c>
      <c r="CO451" s="72">
        <f t="shared" si="3569"/>
        <v>392</v>
      </c>
      <c r="CP451" s="72">
        <f t="shared" si="3570"/>
        <v>433</v>
      </c>
      <c r="CQ451" s="72">
        <f t="shared" si="3571"/>
        <v>491</v>
      </c>
      <c r="CR451" s="72">
        <f t="shared" si="3572"/>
        <v>537</v>
      </c>
      <c r="CS451" s="72">
        <f t="shared" si="3573"/>
        <v>552</v>
      </c>
      <c r="CT451" s="23">
        <f t="shared" si="3574"/>
        <v>1</v>
      </c>
    </row>
    <row r="452" spans="1:1030" x14ac:dyDescent="0.2">
      <c r="A452" s="3" t="str">
        <f t="shared" si="3603"/>
        <v>smo_human_4O9R</v>
      </c>
      <c r="B452" s="3" t="s">
        <v>33</v>
      </c>
      <c r="C452" s="3" t="s">
        <v>1043</v>
      </c>
      <c r="D452" s="3" t="str">
        <f>IFERROR(MID(VLOOKUP($B452,Seqs!$A:$B,2,0),E452,1),"")</f>
        <v>T</v>
      </c>
      <c r="E452" s="105">
        <v>223</v>
      </c>
      <c r="F452" s="3" t="str">
        <f>IFERROR(MID(VLOOKUP($B452,Seqs!$A:$B,2,0),G452,1),"")</f>
        <v>D</v>
      </c>
      <c r="G452" s="3">
        <v>255</v>
      </c>
      <c r="H452" s="3" t="str">
        <f>IFERROR(MID(VLOOKUP($B452,Seqs!$A:$B,2,0),I452,1),"")</f>
        <v>W</v>
      </c>
      <c r="I452" s="23">
        <v>256</v>
      </c>
      <c r="J452" s="3" t="str">
        <f>IFERROR(MID(VLOOKUP($B452,Seqs!$A:$B,2,0),K452,1),"")</f>
        <v>N</v>
      </c>
      <c r="K452" s="23">
        <v>260</v>
      </c>
      <c r="L452" s="3" t="str">
        <f>IFERROR(MID(VLOOKUP($B452,Seqs!$A:$B,2,0),M452,1),"")</f>
        <v>R</v>
      </c>
      <c r="M452" s="3">
        <v>261</v>
      </c>
      <c r="N452" s="3" t="str">
        <f>IFERROR(MID(VLOOKUP($B452,Seqs!$A:$B,2,0),O452,1),"")</f>
        <v>F</v>
      </c>
      <c r="O452" s="3">
        <v>285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312</v>
      </c>
      <c r="V452" s="3" t="str">
        <f>IFERROR(MID(VLOOKUP($B452,Seqs!$A:$B,2,0),W452,1),"")</f>
        <v>F</v>
      </c>
      <c r="W452" s="3">
        <v>343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F</v>
      </c>
      <c r="AC452" s="9">
        <v>360</v>
      </c>
      <c r="AD452" s="3" t="str">
        <f>IFERROR(MID(VLOOKUP($B452,Seqs!$A:$B,2,0),AE452,1),"")</f>
        <v>V</v>
      </c>
      <c r="AE452" s="3">
        <v>378</v>
      </c>
      <c r="AF452" s="3" t="str">
        <f>IFERROR(MID(VLOOKUP($B452,Seqs!$A:$B,2,0),AG452,1),"")</f>
        <v>C</v>
      </c>
      <c r="AG452" s="3">
        <v>390</v>
      </c>
      <c r="AH452" s="3" t="str">
        <f>IFERROR(MID(VLOOKUP($B452,Seqs!$A:$B,2,0),AI452,1),"")</f>
        <v>V</v>
      </c>
      <c r="AI452" s="3">
        <v>392</v>
      </c>
      <c r="AJ452" s="3" t="str">
        <f>IFERROR(MID(VLOOKUP($B452,Seqs!$A:$B,2,0),AK452,1),"")</f>
        <v>N</v>
      </c>
      <c r="AK452" s="105">
        <v>396</v>
      </c>
      <c r="AL452" s="3" t="str">
        <f>IFERROR(MID(VLOOKUP($B452,Seqs!$A:$B,2,0),AM452,1),"")</f>
        <v>H</v>
      </c>
      <c r="AM452" s="3">
        <v>433</v>
      </c>
      <c r="AN452" s="3" t="str">
        <f>IFERROR(MID(VLOOKUP($B452,Seqs!$A:$B,2,0),AO452,1),"")</f>
        <v>E</v>
      </c>
      <c r="AO452" s="3">
        <v>447</v>
      </c>
      <c r="AP452" s="3" t="str">
        <f>IFERROR(MID(VLOOKUP($B452,Seqs!$A:$B,2,0),AQ452,1),"")</f>
        <v>N</v>
      </c>
      <c r="AQ452" s="3">
        <v>493</v>
      </c>
      <c r="AR452" s="3" t="str">
        <f>IFERROR(MID(VLOOKUP($B452,Seqs!$A:$B,2,0),AS452,1),"")</f>
        <v>S</v>
      </c>
      <c r="AS452" s="105">
        <v>514</v>
      </c>
      <c r="AT452" s="3" t="str">
        <f>IFERROR(MID(VLOOKUP($B452,Seqs!$A:$B,2,0),AU452,1),"")</f>
        <v>W</v>
      </c>
      <c r="AU452" s="3">
        <v>537</v>
      </c>
      <c r="AV452" s="3" t="str">
        <f>IFERROR(MID(VLOOKUP($B452,Seqs!$A:$B,2,0),AW452,1),"")</f>
        <v>T</v>
      </c>
      <c r="AW452" s="3">
        <v>538</v>
      </c>
      <c r="AX452" s="3" t="str">
        <f>IFERROR(MID(VLOOKUP($B452,Seqs!$A:$B,2,0),AY452,1),"")</f>
        <v>W</v>
      </c>
      <c r="AY452" s="3">
        <v>549</v>
      </c>
      <c r="AZ452" s="78" t="str">
        <f>VLOOKUP(B452,Classification!A:D,2,0)</f>
        <v>F</v>
      </c>
      <c r="BA452" s="94" t="str">
        <f>VLOOKUP(B452,Classification!A:D,4,0)</f>
        <v>Frizzled</v>
      </c>
      <c r="BB452" s="92" t="b">
        <f t="shared" si="3604"/>
        <v>1</v>
      </c>
      <c r="BC452" s="23">
        <f t="shared" si="3549"/>
        <v>240</v>
      </c>
      <c r="BD452" s="74" t="s">
        <v>23</v>
      </c>
      <c r="BE452" s="3" t="s">
        <v>1368</v>
      </c>
      <c r="BF452" s="118">
        <v>3.2</v>
      </c>
      <c r="BG452" s="49" t="s">
        <v>1371</v>
      </c>
      <c r="BH452" s="49" t="s">
        <v>1371</v>
      </c>
      <c r="BJ452" s="75" t="s">
        <v>1281</v>
      </c>
      <c r="BK452" s="57" t="s">
        <v>1281</v>
      </c>
      <c r="BL452" s="57" t="s">
        <v>1281</v>
      </c>
      <c r="BM452" s="57" t="s">
        <v>1281</v>
      </c>
      <c r="BN452" s="57" t="s">
        <v>1281</v>
      </c>
      <c r="BO452" s="57" t="s">
        <v>1281</v>
      </c>
      <c r="BP452" s="57" t="s">
        <v>1281</v>
      </c>
      <c r="BQ452" s="57" t="s">
        <v>1281</v>
      </c>
      <c r="BR452" s="57" t="s">
        <v>1281</v>
      </c>
      <c r="BS452" s="57" t="s">
        <v>1281</v>
      </c>
      <c r="BT452" s="57" t="s">
        <v>1281</v>
      </c>
      <c r="BU452" s="57" t="s">
        <v>1281</v>
      </c>
      <c r="BV452" s="75">
        <f t="shared" si="3550"/>
        <v>223</v>
      </c>
      <c r="BW452" s="71">
        <f t="shared" si="3551"/>
        <v>256</v>
      </c>
      <c r="BX452" s="72">
        <f t="shared" si="3552"/>
        <v>261</v>
      </c>
      <c r="BY452" s="71" t="str">
        <f t="shared" si="3553"/>
        <v>-</v>
      </c>
      <c r="BZ452" s="72">
        <f t="shared" si="3554"/>
        <v>312</v>
      </c>
      <c r="CA452" s="71" t="str">
        <f t="shared" si="3555"/>
        <v>-</v>
      </c>
      <c r="CB452" s="72">
        <f t="shared" si="3556"/>
        <v>360</v>
      </c>
      <c r="CC452" s="71">
        <f t="shared" si="3557"/>
        <v>390</v>
      </c>
      <c r="CD452" s="72">
        <f t="shared" si="3558"/>
        <v>396</v>
      </c>
      <c r="CE452" s="71">
        <f t="shared" si="3559"/>
        <v>447</v>
      </c>
      <c r="CF452" s="72">
        <f t="shared" si="3560"/>
        <v>514</v>
      </c>
      <c r="CG452" s="71">
        <f t="shared" si="3561"/>
        <v>538</v>
      </c>
      <c r="CH452" s="75">
        <f t="shared" si="3562"/>
        <v>255</v>
      </c>
      <c r="CI452" s="71">
        <f t="shared" si="3563"/>
        <v>260</v>
      </c>
      <c r="CJ452" s="72">
        <f t="shared" si="3564"/>
        <v>285</v>
      </c>
      <c r="CK452" s="72" t="str">
        <f t="shared" si="3565"/>
        <v>-</v>
      </c>
      <c r="CL452" s="72">
        <f t="shared" si="3566"/>
        <v>343</v>
      </c>
      <c r="CM452" s="72" t="str">
        <f t="shared" si="3567"/>
        <v>-</v>
      </c>
      <c r="CN452" s="72">
        <f t="shared" si="3568"/>
        <v>378</v>
      </c>
      <c r="CO452" s="72">
        <f t="shared" si="3569"/>
        <v>392</v>
      </c>
      <c r="CP452" s="72">
        <f t="shared" si="3570"/>
        <v>433</v>
      </c>
      <c r="CQ452" s="72">
        <f t="shared" si="3571"/>
        <v>493</v>
      </c>
      <c r="CR452" s="72">
        <f t="shared" si="3572"/>
        <v>537</v>
      </c>
      <c r="CS452" s="72">
        <f t="shared" si="3573"/>
        <v>549</v>
      </c>
      <c r="CT452" s="23">
        <f t="shared" si="3574"/>
        <v>1</v>
      </c>
    </row>
    <row r="453" spans="1:1030" s="6" customFormat="1" x14ac:dyDescent="0.2">
      <c r="A453" s="3" t="str">
        <f t="shared" si="3603"/>
        <v>smo_human_4QIM</v>
      </c>
      <c r="B453" s="3" t="s">
        <v>33</v>
      </c>
      <c r="C453" s="3" t="s">
        <v>1045</v>
      </c>
      <c r="D453" s="3" t="str">
        <f>IFERROR(MID(VLOOKUP($B453,Seqs!$A:$B,2,0),E453,1),"")</f>
        <v>T</v>
      </c>
      <c r="E453" s="105">
        <v>223</v>
      </c>
      <c r="F453" s="3" t="str">
        <f>IFERROR(MID(VLOOKUP($B453,Seqs!$A:$B,2,0),G453,1),"")</f>
        <v>D</v>
      </c>
      <c r="G453" s="3">
        <v>255</v>
      </c>
      <c r="H453" s="3" t="str">
        <f>IFERROR(MID(VLOOKUP($B453,Seqs!$A:$B,2,0),I453,1),"")</f>
        <v>W</v>
      </c>
      <c r="I453" s="23">
        <v>256</v>
      </c>
      <c r="J453" s="3" t="str">
        <f>IFERROR(MID(VLOOKUP($B453,Seqs!$A:$B,2,0),K453,1),"")</f>
        <v>N</v>
      </c>
      <c r="K453" s="23">
        <v>260</v>
      </c>
      <c r="L453" s="3" t="str">
        <f>IFERROR(MID(VLOOKUP($B453,Seqs!$A:$B,2,0),M453,1),"")</f>
        <v>R</v>
      </c>
      <c r="M453" s="3">
        <v>261</v>
      </c>
      <c r="N453" s="3" t="str">
        <f>IFERROR(MID(VLOOKUP($B453,Seqs!$A:$B,2,0),O453,1),"")</f>
        <v>F</v>
      </c>
      <c r="O453" s="3">
        <v>285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312</v>
      </c>
      <c r="V453" s="3" t="str">
        <f>IFERROR(MID(VLOOKUP($B453,Seqs!$A:$B,2,0),W453,1),"")</f>
        <v>A</v>
      </c>
      <c r="W453" s="3">
        <v>345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K</v>
      </c>
      <c r="AC453" s="9">
        <v>356</v>
      </c>
      <c r="AD453" s="3" t="str">
        <f>IFERROR(MID(VLOOKUP($B453,Seqs!$A:$B,2,0),AE453,1),"")</f>
        <v>V</v>
      </c>
      <c r="AE453" s="3">
        <v>378</v>
      </c>
      <c r="AF453" s="3" t="str">
        <f>IFERROR(MID(VLOOKUP($B453,Seqs!$A:$B,2,0),AG453,1),"")</f>
        <v>C</v>
      </c>
      <c r="AG453" s="3">
        <v>390</v>
      </c>
      <c r="AH453" s="3" t="str">
        <f>IFERROR(MID(VLOOKUP($B453,Seqs!$A:$B,2,0),AI453,1),"")</f>
        <v>V</v>
      </c>
      <c r="AI453" s="3">
        <v>392</v>
      </c>
      <c r="AJ453" s="3" t="str">
        <f>IFERROR(MID(VLOOKUP($B453,Seqs!$A:$B,2,0),AK453,1),"")</f>
        <v>N</v>
      </c>
      <c r="AK453" s="105">
        <v>396</v>
      </c>
      <c r="AL453" s="3" t="str">
        <f>IFERROR(MID(VLOOKUP($B453,Seqs!$A:$B,2,0),AM453,1),"")</f>
        <v>H</v>
      </c>
      <c r="AM453" s="3">
        <v>433</v>
      </c>
      <c r="AN453" s="3" t="str">
        <f>IFERROR(MID(VLOOKUP($B453,Seqs!$A:$B,2,0),AO453,1),"")</f>
        <v>E</v>
      </c>
      <c r="AO453" s="3">
        <v>447</v>
      </c>
      <c r="AP453" s="3" t="str">
        <f>IFERROR(MID(VLOOKUP($B453,Seqs!$A:$B,2,0),AQ453,1),"")</f>
        <v>N</v>
      </c>
      <c r="AQ453" s="3">
        <v>493</v>
      </c>
      <c r="AR453" s="3" t="str">
        <f>IFERROR(MID(VLOOKUP($B453,Seqs!$A:$B,2,0),AS453,1),"")</f>
        <v>S</v>
      </c>
      <c r="AS453" s="105">
        <v>514</v>
      </c>
      <c r="AT453" s="3" t="str">
        <f>IFERROR(MID(VLOOKUP($B453,Seqs!$A:$B,2,0),AU453,1),"")</f>
        <v>W</v>
      </c>
      <c r="AU453" s="3">
        <v>537</v>
      </c>
      <c r="AV453" s="3" t="str">
        <f>IFERROR(MID(VLOOKUP($B453,Seqs!$A:$B,2,0),AW453,1),"")</f>
        <v>T</v>
      </c>
      <c r="AW453" s="3">
        <v>538</v>
      </c>
      <c r="AX453" s="3" t="str">
        <f>IFERROR(MID(VLOOKUP($B453,Seqs!$A:$B,2,0),AY453,1),"")</f>
        <v>T</v>
      </c>
      <c r="AY453" s="3">
        <v>553</v>
      </c>
      <c r="AZ453" s="78" t="str">
        <f>VLOOKUP(B453,Classification!A:D,2,0)</f>
        <v>F</v>
      </c>
      <c r="BA453" s="94" t="str">
        <f>VLOOKUP(B453,Classification!A:D,4,0)</f>
        <v>Frizzled</v>
      </c>
      <c r="BB453" s="92" t="b">
        <f t="shared" si="3604"/>
        <v>1</v>
      </c>
      <c r="BC453" s="23">
        <f t="shared" si="3549"/>
        <v>250</v>
      </c>
      <c r="BD453" s="74" t="s">
        <v>23</v>
      </c>
      <c r="BE453" s="3" t="s">
        <v>1368</v>
      </c>
      <c r="BF453" s="118">
        <v>2.61</v>
      </c>
      <c r="BG453" s="49" t="s">
        <v>1371</v>
      </c>
      <c r="BH453" s="49" t="s">
        <v>1371</v>
      </c>
      <c r="BI453" s="3"/>
      <c r="BJ453" s="75" t="s">
        <v>1281</v>
      </c>
      <c r="BK453" s="57" t="s">
        <v>1281</v>
      </c>
      <c r="BL453" s="57" t="s">
        <v>1281</v>
      </c>
      <c r="BM453" s="57" t="s">
        <v>1281</v>
      </c>
      <c r="BN453" s="57" t="s">
        <v>1281</v>
      </c>
      <c r="BO453" s="57" t="s">
        <v>1281</v>
      </c>
      <c r="BP453" s="57" t="s">
        <v>1281</v>
      </c>
      <c r="BQ453" s="57" t="s">
        <v>1281</v>
      </c>
      <c r="BR453" s="57" t="s">
        <v>1281</v>
      </c>
      <c r="BS453" s="57" t="s">
        <v>1281</v>
      </c>
      <c r="BT453" s="57" t="s">
        <v>1281</v>
      </c>
      <c r="BU453" s="57" t="s">
        <v>1281</v>
      </c>
      <c r="BV453" s="75">
        <f t="shared" si="3550"/>
        <v>223</v>
      </c>
      <c r="BW453" s="71">
        <f t="shared" si="3551"/>
        <v>256</v>
      </c>
      <c r="BX453" s="72">
        <f t="shared" si="3552"/>
        <v>261</v>
      </c>
      <c r="BY453" s="71" t="str">
        <f t="shared" si="3553"/>
        <v>-</v>
      </c>
      <c r="BZ453" s="72">
        <f t="shared" si="3554"/>
        <v>312</v>
      </c>
      <c r="CA453" s="71" t="str">
        <f t="shared" si="3555"/>
        <v>-</v>
      </c>
      <c r="CB453" s="72">
        <f t="shared" si="3556"/>
        <v>356</v>
      </c>
      <c r="CC453" s="71">
        <f t="shared" si="3557"/>
        <v>390</v>
      </c>
      <c r="CD453" s="72">
        <f t="shared" si="3558"/>
        <v>396</v>
      </c>
      <c r="CE453" s="71">
        <f t="shared" si="3559"/>
        <v>447</v>
      </c>
      <c r="CF453" s="72">
        <f t="shared" si="3560"/>
        <v>514</v>
      </c>
      <c r="CG453" s="71">
        <f t="shared" si="3561"/>
        <v>538</v>
      </c>
      <c r="CH453" s="75">
        <f t="shared" si="3562"/>
        <v>255</v>
      </c>
      <c r="CI453" s="71">
        <f t="shared" si="3563"/>
        <v>260</v>
      </c>
      <c r="CJ453" s="72">
        <f t="shared" si="3564"/>
        <v>285</v>
      </c>
      <c r="CK453" s="72" t="str">
        <f t="shared" si="3565"/>
        <v>-</v>
      </c>
      <c r="CL453" s="72">
        <f t="shared" si="3566"/>
        <v>345</v>
      </c>
      <c r="CM453" s="72" t="str">
        <f t="shared" si="3567"/>
        <v>-</v>
      </c>
      <c r="CN453" s="72">
        <f t="shared" si="3568"/>
        <v>378</v>
      </c>
      <c r="CO453" s="72">
        <f t="shared" si="3569"/>
        <v>392</v>
      </c>
      <c r="CP453" s="72">
        <f t="shared" si="3570"/>
        <v>433</v>
      </c>
      <c r="CQ453" s="72">
        <f t="shared" si="3571"/>
        <v>493</v>
      </c>
      <c r="CR453" s="72">
        <f t="shared" si="3572"/>
        <v>537</v>
      </c>
      <c r="CS453" s="72">
        <f t="shared" si="3573"/>
        <v>553</v>
      </c>
      <c r="CT453" s="23">
        <f t="shared" si="3574"/>
        <v>1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/>
      <c r="ALR453" s="3"/>
      <c r="ALS453" s="3"/>
      <c r="ALT453" s="3"/>
      <c r="ALU453" s="3"/>
      <c r="ALV453" s="3"/>
      <c r="ALW453" s="3"/>
      <c r="ALX453" s="3"/>
      <c r="ALY453" s="3"/>
      <c r="ALZ453" s="3"/>
      <c r="AMA453" s="3"/>
      <c r="AMB453" s="3"/>
      <c r="AMC453" s="3"/>
      <c r="AMD453" s="3"/>
      <c r="AME453" s="3"/>
      <c r="AMF453" s="3"/>
      <c r="AMG453" s="3"/>
      <c r="AMH453" s="3"/>
      <c r="AMI453" s="3"/>
      <c r="AMJ453" s="3"/>
      <c r="AMK453" s="3"/>
      <c r="AML453" s="3"/>
      <c r="AMM453" s="3"/>
      <c r="AMN453" s="3"/>
      <c r="AMO453" s="3"/>
      <c r="AMP453" s="1"/>
    </row>
    <row r="454" spans="1:1030" s="6" customFormat="1" x14ac:dyDescent="0.2">
      <c r="A454" s="3" t="str">
        <f t="shared" si="3603"/>
        <v>smo_human_4QIN</v>
      </c>
      <c r="B454" s="3" t="s">
        <v>33</v>
      </c>
      <c r="C454" s="3" t="s">
        <v>56</v>
      </c>
      <c r="D454" s="3" t="str">
        <f>IFERROR(MID(VLOOKUP($B454,Seqs!$A:$B,2,0),E454,1),"")</f>
        <v>T</v>
      </c>
      <c r="E454" s="105">
        <v>223</v>
      </c>
      <c r="F454" s="3" t="str">
        <f>IFERROR(MID(VLOOKUP($B454,Seqs!$A:$B,2,0),G454,1),"")</f>
        <v>D</v>
      </c>
      <c r="G454" s="3">
        <v>255</v>
      </c>
      <c r="H454" s="3" t="str">
        <f>IFERROR(MID(VLOOKUP($B454,Seqs!$A:$B,2,0),I454,1),"")</f>
        <v>W</v>
      </c>
      <c r="I454" s="23">
        <v>256</v>
      </c>
      <c r="J454" s="3" t="str">
        <f>IFERROR(MID(VLOOKUP($B454,Seqs!$A:$B,2,0),K454,1),"")</f>
        <v>N</v>
      </c>
      <c r="K454" s="23">
        <v>260</v>
      </c>
      <c r="L454" s="3" t="str">
        <f>IFERROR(MID(VLOOKUP($B454,Seqs!$A:$B,2,0),M454,1),"")</f>
        <v>R</v>
      </c>
      <c r="M454" s="3">
        <v>261</v>
      </c>
      <c r="N454" s="3" t="str">
        <f>IFERROR(MID(VLOOKUP($B454,Seqs!$A:$B,2,0),O454,1),"")</f>
        <v>F</v>
      </c>
      <c r="O454" s="3">
        <v>285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312</v>
      </c>
      <c r="V454" s="3" t="str">
        <f>IFERROR(MID(VLOOKUP($B454,Seqs!$A:$B,2,0),W454,1),"")</f>
        <v>A</v>
      </c>
      <c r="W454" s="3">
        <v>345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K</v>
      </c>
      <c r="AC454" s="9">
        <v>356</v>
      </c>
      <c r="AD454" s="3" t="str">
        <f>IFERROR(MID(VLOOKUP($B454,Seqs!$A:$B,2,0),AE454,1),"")</f>
        <v>A</v>
      </c>
      <c r="AE454" s="3">
        <v>379</v>
      </c>
      <c r="AF454" s="3" t="str">
        <f>IFERROR(MID(VLOOKUP($B454,Seqs!$A:$B,2,0),AG454,1),"")</f>
        <v>C</v>
      </c>
      <c r="AG454" s="3">
        <v>390</v>
      </c>
      <c r="AH454" s="3" t="str">
        <f>IFERROR(MID(VLOOKUP($B454,Seqs!$A:$B,2,0),AI454,1),"")</f>
        <v>V</v>
      </c>
      <c r="AI454" s="3">
        <v>392</v>
      </c>
      <c r="AJ454" s="3" t="str">
        <f>IFERROR(MID(VLOOKUP($B454,Seqs!$A:$B,2,0),AK454,1),"")</f>
        <v>N</v>
      </c>
      <c r="AK454" s="105">
        <v>396</v>
      </c>
      <c r="AL454" s="3" t="str">
        <f>IFERROR(MID(VLOOKUP($B454,Seqs!$A:$B,2,0),AM454,1),"")</f>
        <v>H</v>
      </c>
      <c r="AM454" s="3">
        <v>433</v>
      </c>
      <c r="AN454" s="3" t="str">
        <f>IFERROR(MID(VLOOKUP($B454,Seqs!$A:$B,2,0),AO454,1),"")</f>
        <v>E</v>
      </c>
      <c r="AO454" s="3">
        <v>447</v>
      </c>
      <c r="AP454" s="3" t="str">
        <f>IFERROR(MID(VLOOKUP($B454,Seqs!$A:$B,2,0),AQ454,1),"")</f>
        <v>A</v>
      </c>
      <c r="AQ454" s="3">
        <v>492</v>
      </c>
      <c r="AR454" s="3" t="str">
        <f>IFERROR(MID(VLOOKUP($B454,Seqs!$A:$B,2,0),AS454,1),"")</f>
        <v>S</v>
      </c>
      <c r="AS454" s="105">
        <v>514</v>
      </c>
      <c r="AT454" s="3" t="str">
        <f>IFERROR(MID(VLOOKUP($B454,Seqs!$A:$B,2,0),AU454,1),"")</f>
        <v>W</v>
      </c>
      <c r="AU454" s="3">
        <v>537</v>
      </c>
      <c r="AV454" s="3" t="str">
        <f>IFERROR(MID(VLOOKUP($B454,Seqs!$A:$B,2,0),AW454,1),"")</f>
        <v>T</v>
      </c>
      <c r="AW454" s="3">
        <v>538</v>
      </c>
      <c r="AX454" s="3" t="str">
        <f>IFERROR(MID(VLOOKUP($B454,Seqs!$A:$B,2,0),AY454,1),"")</f>
        <v>R</v>
      </c>
      <c r="AY454" s="3">
        <v>551</v>
      </c>
      <c r="AZ454" s="78" t="str">
        <f>VLOOKUP(B454,Classification!A:D,2,0)</f>
        <v>F</v>
      </c>
      <c r="BA454" s="94" t="str">
        <f>VLOOKUP(B454,Classification!A:D,4,0)</f>
        <v>Frizzled</v>
      </c>
      <c r="BB454" s="92" t="b">
        <f t="shared" si="3604"/>
        <v>1</v>
      </c>
      <c r="BC454" s="23">
        <f t="shared" si="3549"/>
        <v>248</v>
      </c>
      <c r="BD454" s="74" t="s">
        <v>23</v>
      </c>
      <c r="BE454" s="3" t="s">
        <v>1368</v>
      </c>
      <c r="BF454" s="118">
        <v>2.6</v>
      </c>
      <c r="BG454" s="49" t="s">
        <v>1371</v>
      </c>
      <c r="BH454" s="49" t="s">
        <v>1371</v>
      </c>
      <c r="BI454" s="3"/>
      <c r="BJ454" s="75" t="s">
        <v>1281</v>
      </c>
      <c r="BK454" s="57" t="s">
        <v>1281</v>
      </c>
      <c r="BL454" s="57" t="s">
        <v>1281</v>
      </c>
      <c r="BM454" s="57" t="s">
        <v>1281</v>
      </c>
      <c r="BN454" s="57" t="s">
        <v>1281</v>
      </c>
      <c r="BO454" s="57" t="s">
        <v>1281</v>
      </c>
      <c r="BP454" s="57" t="s">
        <v>1281</v>
      </c>
      <c r="BQ454" s="57" t="s">
        <v>1281</v>
      </c>
      <c r="BR454" s="57" t="s">
        <v>1281</v>
      </c>
      <c r="BS454" s="57" t="s">
        <v>1281</v>
      </c>
      <c r="BT454" s="57" t="s">
        <v>1281</v>
      </c>
      <c r="BU454" s="57" t="s">
        <v>1281</v>
      </c>
      <c r="BV454" s="75">
        <f t="shared" si="3550"/>
        <v>223</v>
      </c>
      <c r="BW454" s="71">
        <f t="shared" si="3551"/>
        <v>256</v>
      </c>
      <c r="BX454" s="72">
        <f t="shared" si="3552"/>
        <v>261</v>
      </c>
      <c r="BY454" s="71" t="str">
        <f t="shared" si="3553"/>
        <v>-</v>
      </c>
      <c r="BZ454" s="72">
        <f t="shared" si="3554"/>
        <v>312</v>
      </c>
      <c r="CA454" s="71" t="str">
        <f t="shared" si="3555"/>
        <v>-</v>
      </c>
      <c r="CB454" s="72">
        <f t="shared" si="3556"/>
        <v>356</v>
      </c>
      <c r="CC454" s="71">
        <f t="shared" si="3557"/>
        <v>390</v>
      </c>
      <c r="CD454" s="72">
        <f t="shared" si="3558"/>
        <v>396</v>
      </c>
      <c r="CE454" s="71">
        <f t="shared" si="3559"/>
        <v>447</v>
      </c>
      <c r="CF454" s="72">
        <f t="shared" si="3560"/>
        <v>514</v>
      </c>
      <c r="CG454" s="71">
        <f t="shared" si="3561"/>
        <v>538</v>
      </c>
      <c r="CH454" s="75">
        <f t="shared" si="3562"/>
        <v>255</v>
      </c>
      <c r="CI454" s="71">
        <f t="shared" si="3563"/>
        <v>260</v>
      </c>
      <c r="CJ454" s="72">
        <f t="shared" si="3564"/>
        <v>285</v>
      </c>
      <c r="CK454" s="72" t="str">
        <f t="shared" si="3565"/>
        <v>-</v>
      </c>
      <c r="CL454" s="72">
        <f t="shared" si="3566"/>
        <v>345</v>
      </c>
      <c r="CM454" s="72" t="str">
        <f t="shared" si="3567"/>
        <v>-</v>
      </c>
      <c r="CN454" s="72">
        <f t="shared" si="3568"/>
        <v>379</v>
      </c>
      <c r="CO454" s="72">
        <f t="shared" si="3569"/>
        <v>392</v>
      </c>
      <c r="CP454" s="72">
        <f t="shared" si="3570"/>
        <v>433</v>
      </c>
      <c r="CQ454" s="72">
        <f t="shared" si="3571"/>
        <v>492</v>
      </c>
      <c r="CR454" s="72">
        <f t="shared" si="3572"/>
        <v>537</v>
      </c>
      <c r="CS454" s="72">
        <f t="shared" si="3573"/>
        <v>551</v>
      </c>
      <c r="CT454" s="23">
        <f t="shared" si="3574"/>
        <v>1</v>
      </c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/>
      <c r="ALR454" s="3"/>
      <c r="ALS454" s="3"/>
      <c r="ALT454" s="3"/>
      <c r="ALU454" s="3"/>
      <c r="ALV454" s="3"/>
      <c r="ALW454" s="3"/>
      <c r="ALX454" s="3"/>
      <c r="ALY454" s="3"/>
      <c r="ALZ454" s="3"/>
      <c r="AMA454" s="3"/>
      <c r="AMB454" s="3"/>
      <c r="AMC454" s="3"/>
      <c r="AMD454" s="3"/>
      <c r="AME454" s="3"/>
      <c r="AMF454" s="3"/>
      <c r="AMG454" s="3"/>
      <c r="AMH454" s="3"/>
      <c r="AMI454" s="3"/>
      <c r="AMJ454" s="3"/>
      <c r="AMK454" s="3"/>
      <c r="AML454" s="3"/>
      <c r="AMM454" s="3"/>
      <c r="AMN454" s="3"/>
      <c r="AMO454" s="3"/>
      <c r="AMP454" s="1"/>
    </row>
    <row r="455" spans="1:1030" s="6" customFormat="1" x14ac:dyDescent="0.2">
      <c r="A455" s="3" t="str">
        <f t="shared" si="3603"/>
        <v>smo_human_5L7D</v>
      </c>
      <c r="B455" s="3" t="s">
        <v>33</v>
      </c>
      <c r="C455" s="3" t="s">
        <v>1346</v>
      </c>
      <c r="D455" s="3" t="str">
        <f>IFERROR(MID(VLOOKUP($B455,Seqs!$A:$B,2,0),E455,1),"")</f>
        <v>T</v>
      </c>
      <c r="E455" s="105">
        <v>223</v>
      </c>
      <c r="F455" s="3" t="str">
        <f>IFERROR(MID(VLOOKUP($B455,Seqs!$A:$B,2,0),G455,1),"")</f>
        <v>D</v>
      </c>
      <c r="G455" s="3">
        <v>255</v>
      </c>
      <c r="H455" s="3" t="str">
        <f>IFERROR(MID(VLOOKUP($B455,Seqs!$A:$B,2,0),I455,1),"")</f>
        <v>W</v>
      </c>
      <c r="I455" s="23">
        <v>256</v>
      </c>
      <c r="J455" s="3" t="str">
        <f>IFERROR(MID(VLOOKUP($B455,Seqs!$A:$B,2,0),K455,1),"")</f>
        <v>N</v>
      </c>
      <c r="K455" s="23">
        <v>260</v>
      </c>
      <c r="L455" s="3" t="str">
        <f>IFERROR(MID(VLOOKUP($B455,Seqs!$A:$B,2,0),M455,1),"")</f>
        <v>R</v>
      </c>
      <c r="M455" s="3">
        <v>261</v>
      </c>
      <c r="N455" s="3" t="str">
        <f>IFERROR(MID(VLOOKUP($B455,Seqs!$A:$B,2,0),O455,1),"")</f>
        <v>F</v>
      </c>
      <c r="O455" s="3">
        <v>285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312</v>
      </c>
      <c r="V455" s="3" t="str">
        <f>IFERROR(MID(VLOOKUP($B455,Seqs!$A:$B,2,0),W455,1),"")</f>
        <v>L</v>
      </c>
      <c r="W455" s="3">
        <v>346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K</v>
      </c>
      <c r="AC455" s="9">
        <v>356</v>
      </c>
      <c r="AD455" s="3" t="str">
        <f>IFERROR(MID(VLOOKUP($B455,Seqs!$A:$B,2,0),AE455,1),"")</f>
        <v>V</v>
      </c>
      <c r="AE455" s="3">
        <v>378</v>
      </c>
      <c r="AF455" s="3" t="str">
        <f>IFERROR(MID(VLOOKUP($B455,Seqs!$A:$B,2,0),AG455,1),"")</f>
        <v>C</v>
      </c>
      <c r="AG455" s="3">
        <v>390</v>
      </c>
      <c r="AH455" s="3" t="str">
        <f>IFERROR(MID(VLOOKUP($B455,Seqs!$A:$B,2,0),AI455,1),"")</f>
        <v>V</v>
      </c>
      <c r="AI455" s="3">
        <v>392</v>
      </c>
      <c r="AJ455" s="3" t="str">
        <f>IFERROR(MID(VLOOKUP($B455,Seqs!$A:$B,2,0),AK455,1),"")</f>
        <v>N</v>
      </c>
      <c r="AK455" s="105">
        <v>396</v>
      </c>
      <c r="AL455" s="3" t="str">
        <f>IFERROR(MID(VLOOKUP($B455,Seqs!$A:$B,2,0),AM455,1),"")</f>
        <v>S</v>
      </c>
      <c r="AM455" s="3">
        <v>428</v>
      </c>
      <c r="AN455" s="3" t="str">
        <f>IFERROR(MID(VLOOKUP($B455,Seqs!$A:$B,2,0),AO455,1),"")</f>
        <v>E</v>
      </c>
      <c r="AO455" s="3">
        <v>447</v>
      </c>
      <c r="AP455" s="3" t="str">
        <f>IFERROR(MID(VLOOKUP($B455,Seqs!$A:$B,2,0),AQ455,1),"")</f>
        <v>I</v>
      </c>
      <c r="AQ455" s="3">
        <v>496</v>
      </c>
      <c r="AR455" s="3" t="str">
        <f>IFERROR(MID(VLOOKUP($B455,Seqs!$A:$B,2,0),AS455,1),"")</f>
        <v>S</v>
      </c>
      <c r="AS455" s="105">
        <v>514</v>
      </c>
      <c r="AT455" s="3" t="str">
        <f>IFERROR(MID(VLOOKUP($B455,Seqs!$A:$B,2,0),AU455,1),"")</f>
        <v>W</v>
      </c>
      <c r="AU455" s="3">
        <v>537</v>
      </c>
      <c r="AV455" s="3" t="str">
        <f>IFERROR(MID(VLOOKUP($B455,Seqs!$A:$B,2,0),AW455,1),"")</f>
        <v>T</v>
      </c>
      <c r="AW455" s="3">
        <v>538</v>
      </c>
      <c r="AX455" s="3" t="str">
        <f>IFERROR(MID(VLOOKUP($B455,Seqs!$A:$B,2,0),AY455,1),"")</f>
        <v>T</v>
      </c>
      <c r="AY455" s="3">
        <v>553</v>
      </c>
      <c r="AZ455" s="78" t="str">
        <f>VLOOKUP(B455,Classification!A:D,2,0)</f>
        <v>F</v>
      </c>
      <c r="BA455" s="94" t="str">
        <f>VLOOKUP(B455,Classification!A:D,4,0)</f>
        <v>Frizzled</v>
      </c>
      <c r="BB455" s="92" t="b">
        <f t="shared" si="3604"/>
        <v>1</v>
      </c>
      <c r="BC455" s="23">
        <f t="shared" si="3549"/>
        <v>249</v>
      </c>
      <c r="BD455" s="74" t="s">
        <v>1370</v>
      </c>
      <c r="BE455" s="3" t="s">
        <v>1368</v>
      </c>
      <c r="BF455" s="118">
        <v>3.2</v>
      </c>
      <c r="BG455" s="49" t="s">
        <v>1275</v>
      </c>
      <c r="BH455" s="49" t="s">
        <v>1371</v>
      </c>
      <c r="BI455" s="3"/>
      <c r="BJ455" s="75" t="s">
        <v>1281</v>
      </c>
      <c r="BK455" s="57" t="s">
        <v>1281</v>
      </c>
      <c r="BL455" s="57" t="s">
        <v>1281</v>
      </c>
      <c r="BM455" s="57" t="s">
        <v>1281</v>
      </c>
      <c r="BN455" s="57" t="s">
        <v>1281</v>
      </c>
      <c r="BO455" s="57" t="s">
        <v>1281</v>
      </c>
      <c r="BP455" s="57" t="s">
        <v>1281</v>
      </c>
      <c r="BQ455" s="57" t="s">
        <v>1281</v>
      </c>
      <c r="BR455" s="57" t="s">
        <v>1281</v>
      </c>
      <c r="BS455" s="57" t="s">
        <v>1281</v>
      </c>
      <c r="BT455" s="57" t="s">
        <v>1281</v>
      </c>
      <c r="BU455" s="57" t="s">
        <v>1281</v>
      </c>
      <c r="BV455" s="75">
        <f t="shared" si="3550"/>
        <v>223</v>
      </c>
      <c r="BW455" s="71">
        <f t="shared" si="3551"/>
        <v>256</v>
      </c>
      <c r="BX455" s="72">
        <f t="shared" si="3552"/>
        <v>261</v>
      </c>
      <c r="BY455" s="71" t="str">
        <f t="shared" si="3553"/>
        <v>-</v>
      </c>
      <c r="BZ455" s="72">
        <f t="shared" si="3554"/>
        <v>312</v>
      </c>
      <c r="CA455" s="71" t="str">
        <f t="shared" si="3555"/>
        <v>-</v>
      </c>
      <c r="CB455" s="72">
        <f t="shared" si="3556"/>
        <v>356</v>
      </c>
      <c r="CC455" s="71">
        <f t="shared" si="3557"/>
        <v>390</v>
      </c>
      <c r="CD455" s="72">
        <f t="shared" si="3558"/>
        <v>396</v>
      </c>
      <c r="CE455" s="71">
        <f t="shared" si="3559"/>
        <v>447</v>
      </c>
      <c r="CF455" s="72">
        <f t="shared" si="3560"/>
        <v>514</v>
      </c>
      <c r="CG455" s="71">
        <f t="shared" si="3561"/>
        <v>538</v>
      </c>
      <c r="CH455" s="75">
        <f t="shared" si="3562"/>
        <v>255</v>
      </c>
      <c r="CI455" s="71">
        <f t="shared" si="3563"/>
        <v>260</v>
      </c>
      <c r="CJ455" s="72">
        <f t="shared" si="3564"/>
        <v>285</v>
      </c>
      <c r="CK455" s="72" t="str">
        <f t="shared" si="3565"/>
        <v>-</v>
      </c>
      <c r="CL455" s="72">
        <f t="shared" si="3566"/>
        <v>346</v>
      </c>
      <c r="CM455" s="72" t="str">
        <f t="shared" si="3567"/>
        <v>-</v>
      </c>
      <c r="CN455" s="72">
        <f t="shared" si="3568"/>
        <v>378</v>
      </c>
      <c r="CO455" s="72">
        <f t="shared" si="3569"/>
        <v>392</v>
      </c>
      <c r="CP455" s="72">
        <f t="shared" si="3570"/>
        <v>428</v>
      </c>
      <c r="CQ455" s="72">
        <f t="shared" si="3571"/>
        <v>496</v>
      </c>
      <c r="CR455" s="72">
        <f t="shared" si="3572"/>
        <v>537</v>
      </c>
      <c r="CS455" s="72">
        <f t="shared" si="3573"/>
        <v>553</v>
      </c>
      <c r="CT455" s="23">
        <f t="shared" si="3574"/>
        <v>1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/>
      <c r="ALR455" s="3"/>
      <c r="ALS455" s="3"/>
      <c r="ALT455" s="3"/>
      <c r="ALU455" s="3"/>
      <c r="ALV455" s="3"/>
      <c r="ALW455" s="3"/>
      <c r="ALX455" s="3"/>
      <c r="ALY455" s="3"/>
      <c r="ALZ455" s="3"/>
      <c r="AMA455" s="3"/>
      <c r="AMB455" s="3"/>
      <c r="AMC455" s="3"/>
      <c r="AMD455" s="3"/>
      <c r="AME455" s="3"/>
      <c r="AMF455" s="3"/>
      <c r="AMG455" s="3"/>
      <c r="AMH455" s="3"/>
      <c r="AMI455" s="3"/>
      <c r="AMJ455" s="3"/>
      <c r="AMK455" s="3"/>
      <c r="AML455" s="3"/>
      <c r="AMM455" s="3"/>
      <c r="AMN455" s="3"/>
      <c r="AMO455" s="3"/>
      <c r="AMP455" s="1"/>
    </row>
    <row r="456" spans="1:1030" s="6" customFormat="1" x14ac:dyDescent="0.2">
      <c r="A456" s="3" t="str">
        <f t="shared" si="3603"/>
        <v>smo_human_5L7I</v>
      </c>
      <c r="B456" s="3" t="s">
        <v>33</v>
      </c>
      <c r="C456" s="3" t="s">
        <v>1347</v>
      </c>
      <c r="D456" s="3" t="str">
        <f>IFERROR(MID(VLOOKUP($B456,Seqs!$A:$B,2,0),E456,1),"")</f>
        <v>T</v>
      </c>
      <c r="E456" s="105">
        <v>223</v>
      </c>
      <c r="F456" s="3" t="str">
        <f>IFERROR(MID(VLOOKUP($B456,Seqs!$A:$B,2,0),G456,1),"")</f>
        <v>D</v>
      </c>
      <c r="G456" s="3">
        <v>255</v>
      </c>
      <c r="H456" s="3" t="str">
        <f>IFERROR(MID(VLOOKUP($B456,Seqs!$A:$B,2,0),I456,1),"")</f>
        <v>W</v>
      </c>
      <c r="I456" s="23">
        <v>256</v>
      </c>
      <c r="J456" s="3" t="str">
        <f>IFERROR(MID(VLOOKUP($B456,Seqs!$A:$B,2,0),K456,1),"")</f>
        <v>N</v>
      </c>
      <c r="K456" s="23">
        <v>260</v>
      </c>
      <c r="L456" s="3" t="str">
        <f>IFERROR(MID(VLOOKUP($B456,Seqs!$A:$B,2,0),M456,1),"")</f>
        <v>R</v>
      </c>
      <c r="M456" s="3">
        <v>261</v>
      </c>
      <c r="N456" s="3" t="str">
        <f>IFERROR(MID(VLOOKUP($B456,Seqs!$A:$B,2,0),O456,1),"")</f>
        <v>F</v>
      </c>
      <c r="O456" s="3">
        <v>285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312</v>
      </c>
      <c r="V456" s="3" t="str">
        <f>IFERROR(MID(VLOOKUP($B456,Seqs!$A:$B,2,0),W456,1),"")</f>
        <v>L</v>
      </c>
      <c r="W456" s="3">
        <v>346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K</v>
      </c>
      <c r="AC456" s="9">
        <v>356</v>
      </c>
      <c r="AD456" s="3" t="str">
        <f>IFERROR(MID(VLOOKUP($B456,Seqs!$A:$B,2,0),AE456,1),"")</f>
        <v>V</v>
      </c>
      <c r="AE456" s="3">
        <v>378</v>
      </c>
      <c r="AF456" s="3" t="str">
        <f>IFERROR(MID(VLOOKUP($B456,Seqs!$A:$B,2,0),AG456,1),"")</f>
        <v>C</v>
      </c>
      <c r="AG456" s="3">
        <v>390</v>
      </c>
      <c r="AH456" s="3" t="str">
        <f>IFERROR(MID(VLOOKUP($B456,Seqs!$A:$B,2,0),AI456,1),"")</f>
        <v>V</v>
      </c>
      <c r="AI456" s="3">
        <v>392</v>
      </c>
      <c r="AJ456" s="3" t="str">
        <f>IFERROR(MID(VLOOKUP($B456,Seqs!$A:$B,2,0),AK456,1),"")</f>
        <v>N</v>
      </c>
      <c r="AK456" s="105">
        <v>396</v>
      </c>
      <c r="AL456" s="3" t="str">
        <f>IFERROR(MID(VLOOKUP($B456,Seqs!$A:$B,2,0),AM456,1),"")</f>
        <v>S</v>
      </c>
      <c r="AM456" s="3">
        <v>428</v>
      </c>
      <c r="AN456" s="3" t="str">
        <f>IFERROR(MID(VLOOKUP($B456,Seqs!$A:$B,2,0),AO456,1),"")</f>
        <v>E</v>
      </c>
      <c r="AO456" s="3">
        <v>447</v>
      </c>
      <c r="AP456" s="3" t="str">
        <f>IFERROR(MID(VLOOKUP($B456,Seqs!$A:$B,2,0),AQ456,1),"")</f>
        <v>N</v>
      </c>
      <c r="AQ456" s="3">
        <v>493</v>
      </c>
      <c r="AR456" s="3" t="str">
        <f>IFERROR(MID(VLOOKUP($B456,Seqs!$A:$B,2,0),AS456,1),"")</f>
        <v>S</v>
      </c>
      <c r="AS456" s="105">
        <v>514</v>
      </c>
      <c r="AT456" s="3" t="str">
        <f>IFERROR(MID(VLOOKUP($B456,Seqs!$A:$B,2,0),AU456,1),"")</f>
        <v>W</v>
      </c>
      <c r="AU456" s="3">
        <v>537</v>
      </c>
      <c r="AV456" s="3" t="str">
        <f>IFERROR(MID(VLOOKUP($B456,Seqs!$A:$B,2,0),AW456,1),"")</f>
        <v>T</v>
      </c>
      <c r="AW456" s="3">
        <v>538</v>
      </c>
      <c r="AX456" s="3" t="str">
        <f>IFERROR(MID(VLOOKUP($B456,Seqs!$A:$B,2,0),AY456,1),"")</f>
        <v>R</v>
      </c>
      <c r="AY456" s="3">
        <v>551</v>
      </c>
      <c r="AZ456" s="78" t="str">
        <f>VLOOKUP(B456,Classification!A:D,2,0)</f>
        <v>F</v>
      </c>
      <c r="BA456" s="94" t="str">
        <f>VLOOKUP(B456,Classification!A:D,4,0)</f>
        <v>Frizzled</v>
      </c>
      <c r="BB456" s="92" t="b">
        <f t="shared" si="3604"/>
        <v>1</v>
      </c>
      <c r="BC456" s="23">
        <f t="shared" si="3549"/>
        <v>244</v>
      </c>
      <c r="BD456" s="74" t="s">
        <v>23</v>
      </c>
      <c r="BE456" s="3" t="s">
        <v>1368</v>
      </c>
      <c r="BF456" s="118">
        <v>3.3</v>
      </c>
      <c r="BG456" s="49" t="s">
        <v>1275</v>
      </c>
      <c r="BH456" s="49" t="s">
        <v>1371</v>
      </c>
      <c r="BI456" s="3" t="s">
        <v>1355</v>
      </c>
      <c r="BJ456" s="75" t="s">
        <v>1281</v>
      </c>
      <c r="BK456" s="57" t="s">
        <v>1281</v>
      </c>
      <c r="BL456" s="57" t="s">
        <v>1281</v>
      </c>
      <c r="BM456" s="57" t="s">
        <v>1281</v>
      </c>
      <c r="BN456" s="57" t="s">
        <v>1281</v>
      </c>
      <c r="BO456" s="57" t="s">
        <v>1281</v>
      </c>
      <c r="BP456" s="57" t="s">
        <v>1281</v>
      </c>
      <c r="BQ456" s="57" t="s">
        <v>1281</v>
      </c>
      <c r="BR456" s="57" t="s">
        <v>1281</v>
      </c>
      <c r="BS456" s="57" t="s">
        <v>1281</v>
      </c>
      <c r="BT456" s="57" t="s">
        <v>1281</v>
      </c>
      <c r="BU456" s="57" t="s">
        <v>1281</v>
      </c>
      <c r="BV456" s="75">
        <f t="shared" si="3550"/>
        <v>223</v>
      </c>
      <c r="BW456" s="71">
        <f t="shared" si="3551"/>
        <v>256</v>
      </c>
      <c r="BX456" s="72">
        <f t="shared" si="3552"/>
        <v>261</v>
      </c>
      <c r="BY456" s="71" t="str">
        <f t="shared" si="3553"/>
        <v>-</v>
      </c>
      <c r="BZ456" s="72">
        <f t="shared" si="3554"/>
        <v>312</v>
      </c>
      <c r="CA456" s="71" t="str">
        <f t="shared" si="3555"/>
        <v>-</v>
      </c>
      <c r="CB456" s="72">
        <f t="shared" si="3556"/>
        <v>356</v>
      </c>
      <c r="CC456" s="71">
        <f t="shared" si="3557"/>
        <v>390</v>
      </c>
      <c r="CD456" s="72">
        <f t="shared" si="3558"/>
        <v>396</v>
      </c>
      <c r="CE456" s="71">
        <f t="shared" si="3559"/>
        <v>447</v>
      </c>
      <c r="CF456" s="72">
        <f t="shared" si="3560"/>
        <v>514</v>
      </c>
      <c r="CG456" s="71">
        <f t="shared" si="3561"/>
        <v>538</v>
      </c>
      <c r="CH456" s="75">
        <f t="shared" si="3562"/>
        <v>255</v>
      </c>
      <c r="CI456" s="71">
        <f t="shared" si="3563"/>
        <v>260</v>
      </c>
      <c r="CJ456" s="72">
        <f t="shared" si="3564"/>
        <v>285</v>
      </c>
      <c r="CK456" s="72" t="str">
        <f t="shared" si="3565"/>
        <v>-</v>
      </c>
      <c r="CL456" s="72">
        <f t="shared" si="3566"/>
        <v>346</v>
      </c>
      <c r="CM456" s="72" t="str">
        <f t="shared" si="3567"/>
        <v>-</v>
      </c>
      <c r="CN456" s="72">
        <f t="shared" si="3568"/>
        <v>378</v>
      </c>
      <c r="CO456" s="72">
        <f t="shared" si="3569"/>
        <v>392</v>
      </c>
      <c r="CP456" s="72">
        <f t="shared" si="3570"/>
        <v>428</v>
      </c>
      <c r="CQ456" s="72">
        <f t="shared" si="3571"/>
        <v>493</v>
      </c>
      <c r="CR456" s="72">
        <f t="shared" si="3572"/>
        <v>537</v>
      </c>
      <c r="CS456" s="72">
        <f t="shared" si="3573"/>
        <v>551</v>
      </c>
      <c r="CT456" s="23">
        <f t="shared" si="3574"/>
        <v>1</v>
      </c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/>
      <c r="ALR456" s="3"/>
      <c r="ALS456" s="3"/>
      <c r="ALT456" s="3"/>
      <c r="ALU456" s="3"/>
      <c r="ALV456" s="3"/>
      <c r="ALW456" s="3"/>
      <c r="ALX456" s="3"/>
      <c r="ALY456" s="3"/>
      <c r="ALZ456" s="3"/>
      <c r="AMA456" s="3"/>
      <c r="AMB456" s="3"/>
      <c r="AMC456" s="3"/>
      <c r="AMD456" s="3"/>
      <c r="AME456" s="3"/>
      <c r="AMF456" s="3"/>
      <c r="AMG456" s="3"/>
      <c r="AMH456" s="3"/>
      <c r="AMI456" s="3"/>
      <c r="AMJ456" s="3"/>
      <c r="AMK456" s="3"/>
      <c r="AML456" s="3"/>
      <c r="AMM456" s="3"/>
      <c r="AMN456" s="3"/>
      <c r="AMO456" s="3"/>
      <c r="AMP456" s="1"/>
    </row>
    <row r="457" spans="1:1030" x14ac:dyDescent="0.2">
      <c r="A457" s="3" t="str">
        <f t="shared" ref="A457:A464" si="4025">CONCATENATE(B457,"_",C457)</f>
        <v>smo_human_5V56</v>
      </c>
      <c r="B457" s="3" t="s">
        <v>33</v>
      </c>
      <c r="C457" s="3" t="s">
        <v>1471</v>
      </c>
      <c r="D457" s="3" t="str">
        <f>IFERROR(MID(VLOOKUP($B457,Seqs!$A:$B,2,0),E457,1),"")</f>
        <v>T</v>
      </c>
      <c r="E457" s="3">
        <v>223</v>
      </c>
      <c r="F457" s="3" t="str">
        <f>IFERROR(MID(VLOOKUP($B457,Seqs!$A:$B,2,0),G457,1),"")</f>
        <v>D</v>
      </c>
      <c r="G457" s="3">
        <v>255</v>
      </c>
      <c r="H457" s="3" t="str">
        <f>IFERROR(MID(VLOOKUP($B457,Seqs!$A:$B,2,0),I457,1),"")</f>
        <v>W</v>
      </c>
      <c r="I457" s="23">
        <v>256</v>
      </c>
      <c r="J457" s="3" t="str">
        <f>IFERROR(MID(VLOOKUP($B457,Seqs!$A:$B,2,0),K457,1),"")</f>
        <v>N</v>
      </c>
      <c r="K457" s="23">
        <v>260</v>
      </c>
      <c r="L457" s="3" t="str">
        <f>IFERROR(MID(VLOOKUP($B457,Seqs!$A:$B,2,0),M457,1),"")</f>
        <v>R</v>
      </c>
      <c r="M457" s="3">
        <v>261</v>
      </c>
      <c r="N457" s="3" t="str">
        <f>IFERROR(MID(VLOOKUP($B457,Seqs!$A:$B,2,0),O457,1),"")</f>
        <v>F</v>
      </c>
      <c r="O457" s="3">
        <v>285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312</v>
      </c>
      <c r="V457" s="3" t="str">
        <f>IFERROR(MID(VLOOKUP($B457,Seqs!$A:$B,2,0),W457,1),"")</f>
        <v>S</v>
      </c>
      <c r="W457" s="3">
        <v>342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K</v>
      </c>
      <c r="AC457" s="3">
        <v>356</v>
      </c>
      <c r="AD457" s="3" t="str">
        <f>IFERROR(MID(VLOOKUP($B457,Seqs!$A:$B,2,0),AE457,1),"")</f>
        <v>V</v>
      </c>
      <c r="AE457" s="3">
        <v>378</v>
      </c>
      <c r="AF457" s="3" t="str">
        <f>IFERROR(MID(VLOOKUP($B457,Seqs!$A:$B,2,0),AG457,1),"")</f>
        <v>C</v>
      </c>
      <c r="AG457" s="3">
        <v>390</v>
      </c>
      <c r="AH457" s="3" t="str">
        <f>IFERROR(MID(VLOOKUP($B457,Seqs!$A:$B,2,0),AI457,1),"")</f>
        <v>V</v>
      </c>
      <c r="AI457" s="3">
        <v>392</v>
      </c>
      <c r="AJ457" s="3" t="str">
        <f>IFERROR(MID(VLOOKUP($B457,Seqs!$A:$B,2,0),AK457,1),"")</f>
        <v>N</v>
      </c>
      <c r="AK457" s="3">
        <v>396</v>
      </c>
      <c r="AL457" s="3" t="str">
        <f>IFERROR(MID(VLOOKUP($B457,Seqs!$A:$B,2,0),AM457,1),"")</f>
        <v>I</v>
      </c>
      <c r="AM457" s="3">
        <v>429</v>
      </c>
      <c r="AN457" s="3" t="str">
        <f>IFERROR(MID(VLOOKUP($B457,Seqs!$A:$B,2,0),AO457,1),"")</f>
        <v>N</v>
      </c>
      <c r="AO457" s="3">
        <v>446</v>
      </c>
      <c r="AP457" s="3" t="str">
        <f>IFERROR(MID(VLOOKUP($B457,Seqs!$A:$B,2,0),AQ457,1),"")</f>
        <v>N</v>
      </c>
      <c r="AQ457" s="3">
        <v>493</v>
      </c>
      <c r="AR457" s="3" t="str">
        <f>IFERROR(MID(VLOOKUP($B457,Seqs!$A:$B,2,0),AS457,1),"")</f>
        <v>S</v>
      </c>
      <c r="AS457" s="3">
        <v>514</v>
      </c>
      <c r="AT457" s="3" t="str">
        <f>IFERROR(MID(VLOOKUP($B457,Seqs!$A:$B,2,0),AU457,1),"")</f>
        <v>W</v>
      </c>
      <c r="AU457" s="3">
        <v>537</v>
      </c>
      <c r="AV457" s="3" t="str">
        <f>IFERROR(MID(VLOOKUP($B457,Seqs!$A:$B,2,0),AW457,1),"")</f>
        <v>T</v>
      </c>
      <c r="AW457" s="3">
        <v>538</v>
      </c>
      <c r="AX457" s="3" t="str">
        <f>IFERROR(MID(VLOOKUP($B457,Seqs!$A:$B,2,0),AY457,1),"")</f>
        <v>T</v>
      </c>
      <c r="AY457" s="3">
        <v>553</v>
      </c>
      <c r="AZ457" s="78" t="str">
        <f>VLOOKUP(B457,Classification!A:D,2,0)</f>
        <v>F</v>
      </c>
      <c r="BA457" s="94" t="str">
        <f>VLOOKUP(B457,Classification!A:D,4,0)</f>
        <v>Frizzled</v>
      </c>
      <c r="BB457" s="92" t="b">
        <f t="shared" ref="BB457:BB464" si="4026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:BC464" si="4027">_xlfn.AGGREGATE(9,6,CH457:CS457)-_xlfn.AGGREGATE(9,6,BV457:CG457)+12</f>
        <v>244</v>
      </c>
      <c r="BD457" s="74" t="s">
        <v>23</v>
      </c>
      <c r="BE457" s="3" t="s">
        <v>1368</v>
      </c>
      <c r="BF457" s="118">
        <v>2.9</v>
      </c>
      <c r="BG457" s="49" t="s">
        <v>1275</v>
      </c>
      <c r="BH457" s="49" t="s">
        <v>1275</v>
      </c>
      <c r="BJ457" s="75" t="s">
        <v>1281</v>
      </c>
      <c r="BK457" s="57" t="s">
        <v>1281</v>
      </c>
      <c r="BL457" s="57" t="s">
        <v>1281</v>
      </c>
      <c r="BM457" s="57" t="s">
        <v>1281</v>
      </c>
      <c r="BN457" s="57" t="s">
        <v>1281</v>
      </c>
      <c r="BO457" s="57" t="s">
        <v>1281</v>
      </c>
      <c r="BP457" s="57" t="s">
        <v>1281</v>
      </c>
      <c r="BQ457" s="57" t="s">
        <v>1281</v>
      </c>
      <c r="BR457" s="57" t="s">
        <v>1281</v>
      </c>
      <c r="BS457" s="57" t="s">
        <v>1281</v>
      </c>
      <c r="BT457" s="57" t="s">
        <v>1281</v>
      </c>
      <c r="BU457" s="57" t="s">
        <v>1281</v>
      </c>
      <c r="BV457" s="75">
        <f t="shared" ref="BV457:BV464" si="4028">E457</f>
        <v>223</v>
      </c>
      <c r="BW457" s="71">
        <f t="shared" ref="BW457:BW464" si="4029">I457</f>
        <v>256</v>
      </c>
      <c r="BX457" s="72">
        <f t="shared" ref="BX457:BX464" si="4030">M457</f>
        <v>261</v>
      </c>
      <c r="BY457" s="71" t="str">
        <f t="shared" ref="BY457:BY464" si="4031">Q457</f>
        <v>-</v>
      </c>
      <c r="BZ457" s="72">
        <f t="shared" ref="BZ457:BZ464" si="4032">U457</f>
        <v>312</v>
      </c>
      <c r="CA457" s="71" t="str">
        <f t="shared" ref="CA457:CA464" si="4033">Y457</f>
        <v>-</v>
      </c>
      <c r="CB457" s="72">
        <f t="shared" ref="CB457:CB464" si="4034">AC457</f>
        <v>356</v>
      </c>
      <c r="CC457" s="71">
        <f t="shared" ref="CC457:CC464" si="4035">AG457</f>
        <v>390</v>
      </c>
      <c r="CD457" s="72">
        <f t="shared" ref="CD457:CD464" si="4036">AK457</f>
        <v>396</v>
      </c>
      <c r="CE457" s="71">
        <f t="shared" ref="CE457:CE464" si="4037">AO457</f>
        <v>446</v>
      </c>
      <c r="CF457" s="72">
        <f t="shared" ref="CF457:CF464" si="4038">AS457</f>
        <v>514</v>
      </c>
      <c r="CG457" s="71">
        <f t="shared" ref="CG457:CG464" si="4039">AW457</f>
        <v>538</v>
      </c>
      <c r="CH457" s="75">
        <f t="shared" ref="CH457:CH464" si="4040">G457</f>
        <v>255</v>
      </c>
      <c r="CI457" s="71">
        <f t="shared" ref="CI457:CI464" si="4041">K457</f>
        <v>260</v>
      </c>
      <c r="CJ457" s="72">
        <f t="shared" ref="CJ457:CJ464" si="4042">O457</f>
        <v>285</v>
      </c>
      <c r="CK457" s="72" t="str">
        <f t="shared" ref="CK457:CK464" si="4043">S457</f>
        <v>-</v>
      </c>
      <c r="CL457" s="72">
        <f t="shared" ref="CL457:CL464" si="4044">W457</f>
        <v>342</v>
      </c>
      <c r="CM457" s="72" t="str">
        <f t="shared" ref="CM457:CM464" si="4045">AA457</f>
        <v>-</v>
      </c>
      <c r="CN457" s="72">
        <f t="shared" ref="CN457:CN464" si="4046">AE457</f>
        <v>378</v>
      </c>
      <c r="CO457" s="72">
        <f t="shared" ref="CO457:CO464" si="4047">AI457</f>
        <v>392</v>
      </c>
      <c r="CP457" s="72">
        <f t="shared" ref="CP457:CP464" si="4048">AM457</f>
        <v>429</v>
      </c>
      <c r="CQ457" s="72">
        <f t="shared" ref="CQ457:CQ464" si="4049">AQ457</f>
        <v>493</v>
      </c>
      <c r="CR457" s="72">
        <f t="shared" ref="CR457:CR464" si="4050">AU457</f>
        <v>537</v>
      </c>
      <c r="CS457" s="72">
        <f t="shared" ref="CS457:CS464" si="4051">AY457</f>
        <v>553</v>
      </c>
      <c r="CT457" s="23">
        <f t="shared" ref="CT457:CT464" si="4052">M457-K457</f>
        <v>1</v>
      </c>
    </row>
    <row r="458" spans="1:1030" x14ac:dyDescent="0.2">
      <c r="A458" s="3" t="str">
        <f t="shared" si="4025"/>
        <v>smo_human_5V57</v>
      </c>
      <c r="B458" s="3" t="s">
        <v>33</v>
      </c>
      <c r="C458" s="3" t="s">
        <v>1472</v>
      </c>
      <c r="D458" s="3" t="str">
        <f>IFERROR(MID(VLOOKUP($B458,Seqs!$A:$B,2,0),E458,1),"")</f>
        <v>T</v>
      </c>
      <c r="E458" s="3">
        <v>223</v>
      </c>
      <c r="F458" s="3" t="str">
        <f>IFERROR(MID(VLOOKUP($B458,Seqs!$A:$B,2,0),G458,1),"")</f>
        <v>D</v>
      </c>
      <c r="G458" s="3">
        <v>255</v>
      </c>
      <c r="H458" s="3" t="str">
        <f>IFERROR(MID(VLOOKUP($B458,Seqs!$A:$B,2,0),I458,1),"")</f>
        <v>W</v>
      </c>
      <c r="I458" s="23">
        <v>256</v>
      </c>
      <c r="J458" s="3" t="str">
        <f>IFERROR(MID(VLOOKUP($B458,Seqs!$A:$B,2,0),K458,1),"")</f>
        <v>N</v>
      </c>
      <c r="K458" s="23">
        <v>260</v>
      </c>
      <c r="L458" s="3" t="str">
        <f>IFERROR(MID(VLOOKUP($B458,Seqs!$A:$B,2,0),M458,1),"")</f>
        <v>R</v>
      </c>
      <c r="M458" s="3">
        <v>261</v>
      </c>
      <c r="N458" s="3" t="str">
        <f>IFERROR(MID(VLOOKUP($B458,Seqs!$A:$B,2,0),O458,1),"")</f>
        <v>F</v>
      </c>
      <c r="O458" s="3">
        <v>285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312</v>
      </c>
      <c r="V458" s="3" t="str">
        <f>IFERROR(MID(VLOOKUP($B458,Seqs!$A:$B,2,0),W458,1),"")</f>
        <v>S</v>
      </c>
      <c r="W458" s="3">
        <v>342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T</v>
      </c>
      <c r="AC458" s="3">
        <v>357</v>
      </c>
      <c r="AD458" s="3" t="str">
        <f>IFERROR(MID(VLOOKUP($B458,Seqs!$A:$B,2,0),AE458,1),"")</f>
        <v>V</v>
      </c>
      <c r="AE458" s="3">
        <v>378</v>
      </c>
      <c r="AF458" s="3" t="str">
        <f>IFERROR(MID(VLOOKUP($B458,Seqs!$A:$B,2,0),AG458,1),"")</f>
        <v>C</v>
      </c>
      <c r="AG458" s="3">
        <v>390</v>
      </c>
      <c r="AH458" s="3" t="str">
        <f>IFERROR(MID(VLOOKUP($B458,Seqs!$A:$B,2,0),AI458,1),"")</f>
        <v>V</v>
      </c>
      <c r="AI458" s="3">
        <v>392</v>
      </c>
      <c r="AJ458" s="3" t="str">
        <f>IFERROR(MID(VLOOKUP($B458,Seqs!$A:$B,2,0),AK458,1),"")</f>
        <v>N</v>
      </c>
      <c r="AK458" s="3">
        <v>396</v>
      </c>
      <c r="AL458" s="3" t="str">
        <f>IFERROR(MID(VLOOKUP($B458,Seqs!$A:$B,2,0),AM458,1),"")</f>
        <v>N</v>
      </c>
      <c r="AM458" s="3">
        <v>432</v>
      </c>
      <c r="AN458" s="3" t="str">
        <f>IFERROR(MID(VLOOKUP($B458,Seqs!$A:$B,2,0),AO458,1),"")</f>
        <v>E</v>
      </c>
      <c r="AO458" s="3">
        <v>447</v>
      </c>
      <c r="AP458" s="3" t="str">
        <f>IFERROR(MID(VLOOKUP($B458,Seqs!$A:$B,2,0),AQ458,1),"")</f>
        <v>N</v>
      </c>
      <c r="AQ458" s="3">
        <v>493</v>
      </c>
      <c r="AR458" s="3" t="str">
        <f>IFERROR(MID(VLOOKUP($B458,Seqs!$A:$B,2,0),AS458,1),"")</f>
        <v>S</v>
      </c>
      <c r="AS458" s="3">
        <v>514</v>
      </c>
      <c r="AT458" s="3" t="str">
        <f>IFERROR(MID(VLOOKUP($B458,Seqs!$A:$B,2,0),AU458,1),"")</f>
        <v>W</v>
      </c>
      <c r="AU458" s="3">
        <v>537</v>
      </c>
      <c r="AV458" s="3" t="str">
        <f>IFERROR(MID(VLOOKUP($B458,Seqs!$A:$B,2,0),AW458,1),"")</f>
        <v>T</v>
      </c>
      <c r="AW458" s="3">
        <v>538</v>
      </c>
      <c r="AX458" s="3" t="str">
        <f>IFERROR(MID(VLOOKUP($B458,Seqs!$A:$B,2,0),AY458,1),"")</f>
        <v>G</v>
      </c>
      <c r="AY458" s="3">
        <v>554</v>
      </c>
      <c r="AZ458" s="78" t="str">
        <f>VLOOKUP(B458,Classification!A:D,2,0)</f>
        <v>F</v>
      </c>
      <c r="BA458" s="94" t="str">
        <f>VLOOKUP(B458,Classification!A:D,4,0)</f>
        <v>Frizzled</v>
      </c>
      <c r="BB458" s="92" t="b">
        <f t="shared" si="4026"/>
        <v>1</v>
      </c>
      <c r="BC458" s="23">
        <f t="shared" si="4027"/>
        <v>246</v>
      </c>
      <c r="BD458" s="74" t="s">
        <v>23</v>
      </c>
      <c r="BE458" s="3" t="s">
        <v>1368</v>
      </c>
      <c r="BF458" s="118">
        <v>3</v>
      </c>
      <c r="BG458" s="49" t="s">
        <v>1</v>
      </c>
      <c r="BH458" s="49" t="s">
        <v>1</v>
      </c>
      <c r="BJ458" s="75" t="s">
        <v>1281</v>
      </c>
      <c r="BK458" s="57" t="s">
        <v>1281</v>
      </c>
      <c r="BL458" s="57" t="s">
        <v>1281</v>
      </c>
      <c r="BM458" s="57" t="s">
        <v>1281</v>
      </c>
      <c r="BN458" s="57" t="s">
        <v>1281</v>
      </c>
      <c r="BO458" s="57" t="s">
        <v>1281</v>
      </c>
      <c r="BP458" s="57" t="s">
        <v>1281</v>
      </c>
      <c r="BQ458" s="57" t="s">
        <v>1281</v>
      </c>
      <c r="BR458" s="57" t="s">
        <v>1281</v>
      </c>
      <c r="BS458" s="57" t="s">
        <v>1281</v>
      </c>
      <c r="BT458" s="57" t="s">
        <v>1281</v>
      </c>
      <c r="BU458" s="57" t="s">
        <v>1281</v>
      </c>
      <c r="BV458" s="75">
        <f t="shared" si="4028"/>
        <v>223</v>
      </c>
      <c r="BW458" s="71">
        <f t="shared" si="4029"/>
        <v>256</v>
      </c>
      <c r="BX458" s="72">
        <f t="shared" si="4030"/>
        <v>261</v>
      </c>
      <c r="BY458" s="71" t="str">
        <f t="shared" si="4031"/>
        <v>-</v>
      </c>
      <c r="BZ458" s="72">
        <f t="shared" si="4032"/>
        <v>312</v>
      </c>
      <c r="CA458" s="71" t="str">
        <f t="shared" si="4033"/>
        <v>-</v>
      </c>
      <c r="CB458" s="72">
        <f t="shared" si="4034"/>
        <v>357</v>
      </c>
      <c r="CC458" s="71">
        <f t="shared" si="4035"/>
        <v>390</v>
      </c>
      <c r="CD458" s="72">
        <f t="shared" si="4036"/>
        <v>396</v>
      </c>
      <c r="CE458" s="71">
        <f t="shared" si="4037"/>
        <v>447</v>
      </c>
      <c r="CF458" s="72">
        <f t="shared" si="4038"/>
        <v>514</v>
      </c>
      <c r="CG458" s="71">
        <f t="shared" si="4039"/>
        <v>538</v>
      </c>
      <c r="CH458" s="75">
        <f t="shared" si="4040"/>
        <v>255</v>
      </c>
      <c r="CI458" s="71">
        <f t="shared" si="4041"/>
        <v>260</v>
      </c>
      <c r="CJ458" s="72">
        <f t="shared" si="4042"/>
        <v>285</v>
      </c>
      <c r="CK458" s="72" t="str">
        <f t="shared" si="4043"/>
        <v>-</v>
      </c>
      <c r="CL458" s="72">
        <f t="shared" si="4044"/>
        <v>342</v>
      </c>
      <c r="CM458" s="72" t="str">
        <f t="shared" si="4045"/>
        <v>-</v>
      </c>
      <c r="CN458" s="72">
        <f t="shared" si="4046"/>
        <v>378</v>
      </c>
      <c r="CO458" s="72">
        <f t="shared" si="4047"/>
        <v>392</v>
      </c>
      <c r="CP458" s="72">
        <f t="shared" si="4048"/>
        <v>432</v>
      </c>
      <c r="CQ458" s="72">
        <f t="shared" si="4049"/>
        <v>493</v>
      </c>
      <c r="CR458" s="72">
        <f t="shared" si="4050"/>
        <v>537</v>
      </c>
      <c r="CS458" s="72">
        <f t="shared" si="4051"/>
        <v>554</v>
      </c>
      <c r="CT458" s="23">
        <f t="shared" si="4052"/>
        <v>1</v>
      </c>
    </row>
    <row r="459" spans="1:1030" x14ac:dyDescent="0.2">
      <c r="A459" s="3" t="str">
        <f t="shared" si="4025"/>
        <v>smo_human_6OT0</v>
      </c>
      <c r="B459" s="3" t="s">
        <v>33</v>
      </c>
      <c r="C459" s="3" t="s">
        <v>1574</v>
      </c>
      <c r="D459" s="3" t="str">
        <f>IFERROR(MID(VLOOKUP($B459,Seqs!$A:$B,2,0),E459,1),"")</f>
        <v>T</v>
      </c>
      <c r="E459" s="3">
        <v>223</v>
      </c>
      <c r="F459" s="3" t="str">
        <f>IFERROR(MID(VLOOKUP($B459,Seqs!$A:$B,2,0),G459,1),"")</f>
        <v>D</v>
      </c>
      <c r="G459" s="3">
        <v>255</v>
      </c>
      <c r="H459" s="3" t="str">
        <f>IFERROR(MID(VLOOKUP($B459,Seqs!$A:$B,2,0),I459,1),"")</f>
        <v>W</v>
      </c>
      <c r="I459" s="23">
        <v>256</v>
      </c>
      <c r="J459" s="3" t="str">
        <f>IFERROR(MID(VLOOKUP($B459,Seqs!$A:$B,2,0),K459,1),"")</f>
        <v>N</v>
      </c>
      <c r="K459" s="23">
        <v>260</v>
      </c>
      <c r="L459" s="3" t="str">
        <f>IFERROR(MID(VLOOKUP($B459,Seqs!$A:$B,2,0),M459,1),"")</f>
        <v>P</v>
      </c>
      <c r="M459" s="3">
        <v>263</v>
      </c>
      <c r="N459" s="3" t="str">
        <f>IFERROR(MID(VLOOKUP($B459,Seqs!$A:$B,2,0),O459,1),"")</f>
        <v>A</v>
      </c>
      <c r="O459" s="3">
        <v>283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C</v>
      </c>
      <c r="U459" s="3">
        <v>314</v>
      </c>
      <c r="V459" s="3" t="str">
        <f>IFERROR(MID(VLOOKUP($B459,Seqs!$A:$B,2,0),W459,1),"")</f>
        <v>A</v>
      </c>
      <c r="W459" s="3">
        <v>345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K</v>
      </c>
      <c r="AC459" s="3">
        <v>356</v>
      </c>
      <c r="AD459" s="3" t="str">
        <f>IFERROR(MID(VLOOKUP($B459,Seqs!$A:$B,2,0),AE459,1),"")</f>
        <v>L</v>
      </c>
      <c r="AE459" s="3">
        <v>376</v>
      </c>
      <c r="AF459" s="3" t="str">
        <f>IFERROR(MID(VLOOKUP($B459,Seqs!$A:$B,2,0),AG459,1),"")</f>
        <v>C</v>
      </c>
      <c r="AG459" s="3">
        <v>390</v>
      </c>
      <c r="AH459" s="3" t="str">
        <f>IFERROR(MID(VLOOKUP($B459,Seqs!$A:$B,2,0),AI459,1),"")</f>
        <v>V</v>
      </c>
      <c r="AI459" s="3">
        <v>392</v>
      </c>
      <c r="AJ459" s="3" t="str">
        <f>IFERROR(MID(VLOOKUP($B459,Seqs!$A:$B,2,0),AK459,1),"")</f>
        <v>A</v>
      </c>
      <c r="AK459" s="3">
        <v>406</v>
      </c>
      <c r="AL459" s="3" t="str">
        <f>IFERROR(MID(VLOOKUP($B459,Seqs!$A:$B,2,0),AM459,1),"")</f>
        <v>S</v>
      </c>
      <c r="AM459" s="3">
        <v>428</v>
      </c>
      <c r="AN459" s="3" t="str">
        <f>IFERROR(MID(VLOOKUP($B459,Seqs!$A:$B,2,0),AO459,1),"")</f>
        <v>S</v>
      </c>
      <c r="AO459" s="3">
        <v>438</v>
      </c>
      <c r="AP459" s="3" t="str">
        <f>IFERROR(MID(VLOOKUP($B459,Seqs!$A:$B,2,0),AQ459,1),"")</f>
        <v>V</v>
      </c>
      <c r="AQ459" s="3">
        <v>494</v>
      </c>
      <c r="AR459" s="3" t="str">
        <f>IFERROR(MID(VLOOKUP($B459,Seqs!$A:$B,2,0),AS459,1),"")</f>
        <v>L</v>
      </c>
      <c r="AS459" s="3">
        <v>516</v>
      </c>
      <c r="AT459" s="3" t="str">
        <f>IFERROR(MID(VLOOKUP($B459,Seqs!$A:$B,2,0),AU459,1),"")</f>
        <v>W</v>
      </c>
      <c r="AU459" s="3">
        <v>537</v>
      </c>
      <c r="AV459" s="3" t="str">
        <f>IFERROR(MID(VLOOKUP($B459,Seqs!$A:$B,2,0),AW459,1),"")</f>
        <v>A</v>
      </c>
      <c r="AW459" s="3">
        <v>540</v>
      </c>
      <c r="AX459" s="3" t="str">
        <f>IFERROR(MID(VLOOKUP($B459,Seqs!$A:$B,2,0),AY459,1),"")</f>
        <v>L</v>
      </c>
      <c r="AY459" s="3">
        <v>552</v>
      </c>
      <c r="AZ459" s="78" t="str">
        <f>VLOOKUP(B459,Classification!A:D,2,0)</f>
        <v>F</v>
      </c>
      <c r="BA459" s="94" t="str">
        <f>VLOOKUP(B459,Classification!A:D,4,0)</f>
        <v>Frizzled</v>
      </c>
      <c r="BB459" s="92" t="b">
        <f t="shared" si="4026"/>
        <v>1</v>
      </c>
      <c r="BC459" s="23">
        <f t="shared" si="4027"/>
        <v>232</v>
      </c>
      <c r="BD459" s="74" t="s">
        <v>1369</v>
      </c>
      <c r="BE459" s="3" t="s">
        <v>1285</v>
      </c>
      <c r="BF459" s="118">
        <v>3.84</v>
      </c>
      <c r="BG459" s="49" t="s">
        <v>1416</v>
      </c>
      <c r="BH459" s="49" t="s">
        <v>1416</v>
      </c>
      <c r="BJ459" s="75" t="s">
        <v>1281</v>
      </c>
      <c r="BK459" s="57" t="s">
        <v>1281</v>
      </c>
      <c r="BL459" s="57" t="s">
        <v>1281</v>
      </c>
      <c r="BM459" s="57" t="s">
        <v>1281</v>
      </c>
      <c r="BN459" s="57" t="s">
        <v>1281</v>
      </c>
      <c r="BO459" s="57" t="s">
        <v>1281</v>
      </c>
      <c r="BP459" s="57" t="s">
        <v>1281</v>
      </c>
      <c r="BQ459" s="57" t="s">
        <v>1281</v>
      </c>
      <c r="BR459" s="57" t="s">
        <v>1281</v>
      </c>
      <c r="BS459" s="57" t="s">
        <v>1281</v>
      </c>
      <c r="BT459" s="57" t="s">
        <v>1281</v>
      </c>
      <c r="BU459" s="57" t="s">
        <v>1281</v>
      </c>
      <c r="BV459" s="75">
        <f t="shared" si="4028"/>
        <v>223</v>
      </c>
      <c r="BW459" s="71">
        <f t="shared" si="4029"/>
        <v>256</v>
      </c>
      <c r="BX459" s="72">
        <f t="shared" si="4030"/>
        <v>263</v>
      </c>
      <c r="BY459" s="71" t="str">
        <f t="shared" si="4031"/>
        <v>-</v>
      </c>
      <c r="BZ459" s="72">
        <f t="shared" si="4032"/>
        <v>314</v>
      </c>
      <c r="CA459" s="71" t="str">
        <f t="shared" si="4033"/>
        <v>-</v>
      </c>
      <c r="CB459" s="72">
        <f t="shared" si="4034"/>
        <v>356</v>
      </c>
      <c r="CC459" s="71">
        <f t="shared" si="4035"/>
        <v>390</v>
      </c>
      <c r="CD459" s="72">
        <f t="shared" si="4036"/>
        <v>406</v>
      </c>
      <c r="CE459" s="71">
        <f t="shared" si="4037"/>
        <v>438</v>
      </c>
      <c r="CF459" s="72">
        <f t="shared" si="4038"/>
        <v>516</v>
      </c>
      <c r="CG459" s="71">
        <f t="shared" si="4039"/>
        <v>540</v>
      </c>
      <c r="CH459" s="75">
        <f t="shared" si="4040"/>
        <v>255</v>
      </c>
      <c r="CI459" s="71">
        <f t="shared" si="4041"/>
        <v>260</v>
      </c>
      <c r="CJ459" s="72">
        <f t="shared" si="4042"/>
        <v>283</v>
      </c>
      <c r="CK459" s="72" t="str">
        <f t="shared" si="4043"/>
        <v>-</v>
      </c>
      <c r="CL459" s="72">
        <f t="shared" si="4044"/>
        <v>345</v>
      </c>
      <c r="CM459" s="72" t="str">
        <f t="shared" si="4045"/>
        <v>-</v>
      </c>
      <c r="CN459" s="72">
        <f t="shared" si="4046"/>
        <v>376</v>
      </c>
      <c r="CO459" s="72">
        <f t="shared" si="4047"/>
        <v>392</v>
      </c>
      <c r="CP459" s="72">
        <f t="shared" si="4048"/>
        <v>428</v>
      </c>
      <c r="CQ459" s="72">
        <f t="shared" si="4049"/>
        <v>494</v>
      </c>
      <c r="CR459" s="72">
        <f t="shared" si="4050"/>
        <v>537</v>
      </c>
      <c r="CS459" s="72">
        <f t="shared" si="4051"/>
        <v>552</v>
      </c>
      <c r="CT459" s="23">
        <f t="shared" si="4052"/>
        <v>3</v>
      </c>
    </row>
    <row r="460" spans="1:1030" s="12" customFormat="1" x14ac:dyDescent="0.2">
      <c r="A460" s="9" t="str">
        <f t="shared" ref="A460:A461" si="4053">CONCATENATE(B460,"_",C460)</f>
        <v>smo_mouse__wt</v>
      </c>
      <c r="B460" s="9" t="s">
        <v>1588</v>
      </c>
      <c r="C460" s="9" t="s">
        <v>100</v>
      </c>
      <c r="D460" s="9" t="str">
        <f>IFERROR(MID(VLOOKUP($B460,Seqs!$A:$B,2,0),E460,1),"")</f>
        <v>T</v>
      </c>
      <c r="E460" s="9">
        <v>227</v>
      </c>
      <c r="F460" s="9" t="str">
        <f>IFERROR(MID(VLOOKUP($B460,Seqs!$A:$B,2,0),G460,1),"")</f>
        <v>D</v>
      </c>
      <c r="G460" s="9">
        <v>259</v>
      </c>
      <c r="H460" s="9" t="str">
        <f>IFERROR(MID(VLOOKUP($B460,Seqs!$A:$B,2,0),I460,1),"")</f>
        <v>W</v>
      </c>
      <c r="I460" s="109">
        <v>260</v>
      </c>
      <c r="J460" s="9" t="str">
        <f>IFERROR(MID(VLOOKUP($B460,Seqs!$A:$B,2,0),K460,1),"")</f>
        <v>N</v>
      </c>
      <c r="K460" s="109">
        <v>264</v>
      </c>
      <c r="L460" s="9" t="str">
        <f>IFERROR(MID(VLOOKUP($B460,Seqs!$A:$B,2,0),M460,1),"")</f>
        <v>R</v>
      </c>
      <c r="M460" s="9">
        <v>265</v>
      </c>
      <c r="N460" s="9" t="str">
        <f>IFERROR(MID(VLOOKUP($B460,Seqs!$A:$B,2,0),O460,1),"")</f>
        <v>F</v>
      </c>
      <c r="O460" s="9">
        <v>289</v>
      </c>
      <c r="P460" s="9" t="str">
        <f>IFERROR(MID(VLOOKUP($B460,Seqs!$A:$B,2,0),Q460,1),"")</f>
        <v/>
      </c>
      <c r="Q460" s="9" t="s">
        <v>23</v>
      </c>
      <c r="R460" s="9" t="str">
        <f>IFERROR(MID(VLOOKUP($B460,Seqs!$A:$B,2,0),S460,1),"")</f>
        <v/>
      </c>
      <c r="S460" s="9" t="s">
        <v>23</v>
      </c>
      <c r="T460" s="9" t="str">
        <f>IFERROR(MID(VLOOKUP($B460,Seqs!$A:$B,2,0),U460,1),"")</f>
        <v>L</v>
      </c>
      <c r="U460" s="9">
        <v>316</v>
      </c>
      <c r="V460" s="9" t="str">
        <f>IFERROR(MID(VLOOKUP($B460,Seqs!$A:$B,2,0),W460,1),"")</f>
        <v>A</v>
      </c>
      <c r="W460" s="9">
        <v>349</v>
      </c>
      <c r="X460" s="9" t="str">
        <f>IFERROR(MID(VLOOKUP($B460,Seqs!$A:$B,2,0),Y460,1),"")</f>
        <v/>
      </c>
      <c r="Y460" s="9" t="s">
        <v>23</v>
      </c>
      <c r="Z460" s="9" t="str">
        <f>IFERROR(MID(VLOOKUP($B460,Seqs!$A:$B,2,0),AA460,1),"")</f>
        <v/>
      </c>
      <c r="AA460" s="9" t="s">
        <v>23</v>
      </c>
      <c r="AB460" s="9" t="str">
        <f>IFERROR(MID(VLOOKUP($B460,Seqs!$A:$B,2,0),AC460,1),"")</f>
        <v>K</v>
      </c>
      <c r="AC460" s="9">
        <v>360</v>
      </c>
      <c r="AD460" s="9" t="str">
        <f>IFERROR(MID(VLOOKUP($B460,Seqs!$A:$B,2,0),AE460,1),"")</f>
        <v>A</v>
      </c>
      <c r="AE460" s="9">
        <v>383</v>
      </c>
      <c r="AF460" s="9" t="str">
        <f>IFERROR(MID(VLOOKUP($B460,Seqs!$A:$B,2,0),AG460,1),"")</f>
        <v>C</v>
      </c>
      <c r="AG460" s="9">
        <v>394</v>
      </c>
      <c r="AH460" s="9" t="str">
        <f>IFERROR(MID(VLOOKUP($B460,Seqs!$A:$B,2,0),AI460,1),"")</f>
        <v>V</v>
      </c>
      <c r="AI460" s="9">
        <v>396</v>
      </c>
      <c r="AJ460" s="9" t="str">
        <f>IFERROR(MID(VLOOKUP($B460,Seqs!$A:$B,2,0),AK460,1),"")</f>
        <v>N</v>
      </c>
      <c r="AK460" s="9">
        <v>400</v>
      </c>
      <c r="AL460" s="9" t="str">
        <f>IFERROR(MID(VLOOKUP($B460,Seqs!$A:$B,2,0),AM460,1),"")</f>
        <v>H</v>
      </c>
      <c r="AM460" s="9">
        <v>437</v>
      </c>
      <c r="AN460" s="9" t="str">
        <f>IFERROR(MID(VLOOKUP($B460,Seqs!$A:$B,2,0),AO460,1),"")</f>
        <v>S</v>
      </c>
      <c r="AO460" s="9">
        <v>442</v>
      </c>
      <c r="AP460" s="9" t="str">
        <f>IFERROR(MID(VLOOKUP($B460,Seqs!$A:$B,2,0),AQ460,1),"")</f>
        <v>I</v>
      </c>
      <c r="AQ460" s="9">
        <v>500</v>
      </c>
      <c r="AR460" s="9" t="str">
        <f>IFERROR(MID(VLOOKUP($B460,Seqs!$A:$B,2,0),AS460,1),"")</f>
        <v>S</v>
      </c>
      <c r="AS460" s="9">
        <v>518</v>
      </c>
      <c r="AT460" s="9" t="str">
        <f>IFERROR(MID(VLOOKUP($B460,Seqs!$A:$B,2,0),AU460,1),"")</f>
        <v>W</v>
      </c>
      <c r="AU460" s="9">
        <v>541</v>
      </c>
      <c r="AV460" s="9" t="str">
        <f>IFERROR(MID(VLOOKUP($B460,Seqs!$A:$B,2,0),AW460,1),"")</f>
        <v>T</v>
      </c>
      <c r="AW460" s="9">
        <v>542</v>
      </c>
      <c r="AX460" s="9" t="str">
        <f>IFERROR(MID(VLOOKUP($B460,Seqs!$A:$B,2,0),AY460,1),"")</f>
        <v>T</v>
      </c>
      <c r="AY460" s="9">
        <v>557</v>
      </c>
      <c r="AZ460" s="134" t="str">
        <f>VLOOKUP(B460,Classification!A:D,2,0)</f>
        <v>F</v>
      </c>
      <c r="BA460" s="98" t="str">
        <f>VLOOKUP(B460,Classification!A:D,4,0)</f>
        <v>Frizzled</v>
      </c>
      <c r="BB460" s="135" t="b">
        <f t="shared" ref="BB460:BB461" si="4054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109">
        <f t="shared" ref="BC460:BC461" si="4055">_xlfn.AGGREGATE(9,6,CH460:CS460)-_xlfn.AGGREGATE(9,6,BV460:CG460)+12</f>
        <v>263</v>
      </c>
      <c r="BD460" s="123" t="s">
        <v>23</v>
      </c>
      <c r="BE460" s="9" t="s">
        <v>1285</v>
      </c>
      <c r="BF460" s="119">
        <v>4.84</v>
      </c>
      <c r="BG460" s="51" t="s">
        <v>1416</v>
      </c>
      <c r="BH460" s="51" t="s">
        <v>1416</v>
      </c>
      <c r="BI460" s="9"/>
      <c r="BJ460" s="136" t="s">
        <v>1281</v>
      </c>
      <c r="BK460" s="112" t="s">
        <v>1281</v>
      </c>
      <c r="BL460" s="112" t="s">
        <v>1281</v>
      </c>
      <c r="BM460" s="112" t="s">
        <v>1281</v>
      </c>
      <c r="BN460" s="112" t="s">
        <v>1281</v>
      </c>
      <c r="BO460" s="112" t="s">
        <v>1281</v>
      </c>
      <c r="BP460" s="112" t="s">
        <v>1281</v>
      </c>
      <c r="BQ460" s="112" t="s">
        <v>1281</v>
      </c>
      <c r="BR460" s="112" t="s">
        <v>1281</v>
      </c>
      <c r="BS460" s="112" t="s">
        <v>1281</v>
      </c>
      <c r="BT460" s="112" t="s">
        <v>1281</v>
      </c>
      <c r="BU460" s="112" t="s">
        <v>1281</v>
      </c>
      <c r="BV460" s="136">
        <f t="shared" ref="BV460:BV461" si="4056">E460</f>
        <v>227</v>
      </c>
      <c r="BW460" s="113">
        <f t="shared" ref="BW460:BW461" si="4057">I460</f>
        <v>260</v>
      </c>
      <c r="BX460" s="114">
        <f t="shared" ref="BX460:BX461" si="4058">M460</f>
        <v>265</v>
      </c>
      <c r="BY460" s="113" t="str">
        <f t="shared" ref="BY460:BY461" si="4059">Q460</f>
        <v>-</v>
      </c>
      <c r="BZ460" s="114">
        <f t="shared" ref="BZ460:BZ461" si="4060">U460</f>
        <v>316</v>
      </c>
      <c r="CA460" s="113" t="str">
        <f t="shared" ref="CA460:CA461" si="4061">Y460</f>
        <v>-</v>
      </c>
      <c r="CB460" s="114">
        <f t="shared" ref="CB460:CB461" si="4062">AC460</f>
        <v>360</v>
      </c>
      <c r="CC460" s="113">
        <f t="shared" ref="CC460:CC461" si="4063">AG460</f>
        <v>394</v>
      </c>
      <c r="CD460" s="114">
        <f t="shared" ref="CD460:CD461" si="4064">AK460</f>
        <v>400</v>
      </c>
      <c r="CE460" s="113">
        <f t="shared" ref="CE460:CE461" si="4065">AO460</f>
        <v>442</v>
      </c>
      <c r="CF460" s="114">
        <f t="shared" ref="CF460:CF461" si="4066">AS460</f>
        <v>518</v>
      </c>
      <c r="CG460" s="113">
        <f t="shared" ref="CG460:CG461" si="4067">AW460</f>
        <v>542</v>
      </c>
      <c r="CH460" s="136">
        <f t="shared" ref="CH460:CH461" si="4068">G460</f>
        <v>259</v>
      </c>
      <c r="CI460" s="113">
        <f t="shared" ref="CI460:CI461" si="4069">K460</f>
        <v>264</v>
      </c>
      <c r="CJ460" s="114">
        <f t="shared" ref="CJ460:CJ461" si="4070">O460</f>
        <v>289</v>
      </c>
      <c r="CK460" s="114" t="str">
        <f t="shared" ref="CK460:CK461" si="4071">S460</f>
        <v>-</v>
      </c>
      <c r="CL460" s="114">
        <f t="shared" ref="CL460:CL461" si="4072">W460</f>
        <v>349</v>
      </c>
      <c r="CM460" s="114" t="str">
        <f t="shared" ref="CM460:CM461" si="4073">AA460</f>
        <v>-</v>
      </c>
      <c r="CN460" s="114">
        <f t="shared" ref="CN460:CN461" si="4074">AE460</f>
        <v>383</v>
      </c>
      <c r="CO460" s="114">
        <f t="shared" ref="CO460:CO461" si="4075">AI460</f>
        <v>396</v>
      </c>
      <c r="CP460" s="114">
        <f t="shared" ref="CP460:CP461" si="4076">AM460</f>
        <v>437</v>
      </c>
      <c r="CQ460" s="114">
        <f t="shared" ref="CQ460:CQ461" si="4077">AQ460</f>
        <v>500</v>
      </c>
      <c r="CR460" s="114">
        <f t="shared" ref="CR460:CR461" si="4078">AU460</f>
        <v>541</v>
      </c>
      <c r="CS460" s="114">
        <f t="shared" ref="CS460:CS461" si="4079">AY460</f>
        <v>557</v>
      </c>
      <c r="CT460" s="109">
        <f t="shared" ref="CT460:CT461" si="4080">M460-K460</f>
        <v>1</v>
      </c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  <c r="AMK460" s="9"/>
      <c r="AML460" s="9"/>
      <c r="AMM460" s="9"/>
      <c r="AMN460" s="9"/>
      <c r="AMO460" s="9"/>
    </row>
    <row r="461" spans="1:1030" s="12" customFormat="1" x14ac:dyDescent="0.2">
      <c r="A461" s="9" t="str">
        <f t="shared" si="4053"/>
        <v>smo_mouse_6O3C</v>
      </c>
      <c r="B461" s="9" t="s">
        <v>1588</v>
      </c>
      <c r="C461" s="9" t="s">
        <v>1589</v>
      </c>
      <c r="D461" s="9" t="str">
        <f>IFERROR(MID(VLOOKUP($B461,Seqs!$A:$B,2,0),E461,1),"")</f>
        <v>T</v>
      </c>
      <c r="E461" s="9">
        <v>227</v>
      </c>
      <c r="F461" s="9" t="str">
        <f>IFERROR(MID(VLOOKUP($B461,Seqs!$A:$B,2,0),G461,1),"")</f>
        <v>D</v>
      </c>
      <c r="G461" s="9">
        <v>259</v>
      </c>
      <c r="H461" s="9" t="str">
        <f>IFERROR(MID(VLOOKUP($B461,Seqs!$A:$B,2,0),I461,1),"")</f>
        <v>W</v>
      </c>
      <c r="I461" s="109">
        <v>260</v>
      </c>
      <c r="J461" s="9" t="str">
        <f>IFERROR(MID(VLOOKUP($B461,Seqs!$A:$B,2,0),K461,1),"")</f>
        <v>N</v>
      </c>
      <c r="K461" s="109">
        <v>264</v>
      </c>
      <c r="L461" s="9" t="str">
        <f>IFERROR(MID(VLOOKUP($B461,Seqs!$A:$B,2,0),M461,1),"")</f>
        <v>R</v>
      </c>
      <c r="M461" s="9">
        <v>265</v>
      </c>
      <c r="N461" s="9" t="str">
        <f>IFERROR(MID(VLOOKUP($B461,Seqs!$A:$B,2,0),O461,1),"")</f>
        <v>F</v>
      </c>
      <c r="O461" s="9">
        <v>289</v>
      </c>
      <c r="P461" s="9" t="str">
        <f>IFERROR(MID(VLOOKUP($B461,Seqs!$A:$B,2,0),Q461,1),"")</f>
        <v/>
      </c>
      <c r="Q461" s="9" t="s">
        <v>23</v>
      </c>
      <c r="R461" s="9" t="str">
        <f>IFERROR(MID(VLOOKUP($B461,Seqs!$A:$B,2,0),S461,1),"")</f>
        <v/>
      </c>
      <c r="S461" s="9" t="s">
        <v>23</v>
      </c>
      <c r="T461" s="9" t="str">
        <f>IFERROR(MID(VLOOKUP($B461,Seqs!$A:$B,2,0),U461,1),"")</f>
        <v>L</v>
      </c>
      <c r="U461" s="9">
        <v>316</v>
      </c>
      <c r="V461" s="9" t="str">
        <f>IFERROR(MID(VLOOKUP($B461,Seqs!$A:$B,2,0),W461,1),"")</f>
        <v>A</v>
      </c>
      <c r="W461" s="9">
        <v>349</v>
      </c>
      <c r="X461" s="9" t="str">
        <f>IFERROR(MID(VLOOKUP($B461,Seqs!$A:$B,2,0),Y461,1),"")</f>
        <v/>
      </c>
      <c r="Y461" s="9" t="s">
        <v>23</v>
      </c>
      <c r="Z461" s="9" t="str">
        <f>IFERROR(MID(VLOOKUP($B461,Seqs!$A:$B,2,0),AA461,1),"")</f>
        <v/>
      </c>
      <c r="AA461" s="9" t="s">
        <v>23</v>
      </c>
      <c r="AB461" s="9" t="str">
        <f>IFERROR(MID(VLOOKUP($B461,Seqs!$A:$B,2,0),AC461,1),"")</f>
        <v>K</v>
      </c>
      <c r="AC461" s="9">
        <v>360</v>
      </c>
      <c r="AD461" s="9" t="str">
        <f>IFERROR(MID(VLOOKUP($B461,Seqs!$A:$B,2,0),AE461,1),"")</f>
        <v>A</v>
      </c>
      <c r="AE461" s="9">
        <v>383</v>
      </c>
      <c r="AF461" s="9" t="str">
        <f>IFERROR(MID(VLOOKUP($B461,Seqs!$A:$B,2,0),AG461,1),"")</f>
        <v>C</v>
      </c>
      <c r="AG461" s="9">
        <v>394</v>
      </c>
      <c r="AH461" s="9" t="str">
        <f>IFERROR(MID(VLOOKUP($B461,Seqs!$A:$B,2,0),AI461,1),"")</f>
        <v>V</v>
      </c>
      <c r="AI461" s="9">
        <v>396</v>
      </c>
      <c r="AJ461" s="9" t="str">
        <f>IFERROR(MID(VLOOKUP($B461,Seqs!$A:$B,2,0),AK461,1),"")</f>
        <v>N</v>
      </c>
      <c r="AK461" s="9">
        <v>400</v>
      </c>
      <c r="AL461" s="9" t="str">
        <f>IFERROR(MID(VLOOKUP($B461,Seqs!$A:$B,2,0),AM461,1),"")</f>
        <v>H</v>
      </c>
      <c r="AM461" s="9">
        <v>437</v>
      </c>
      <c r="AN461" s="9" t="str">
        <f>IFERROR(MID(VLOOKUP($B461,Seqs!$A:$B,2,0),AO461,1),"")</f>
        <v>S</v>
      </c>
      <c r="AO461" s="9">
        <v>442</v>
      </c>
      <c r="AP461" s="9" t="str">
        <f>IFERROR(MID(VLOOKUP($B461,Seqs!$A:$B,2,0),AQ461,1),"")</f>
        <v>T</v>
      </c>
      <c r="AQ461" s="9">
        <v>499</v>
      </c>
      <c r="AR461" s="9" t="str">
        <f>IFERROR(MID(VLOOKUP($B461,Seqs!$A:$B,2,0),AS461,1),"")</f>
        <v>S</v>
      </c>
      <c r="AS461" s="9">
        <v>518</v>
      </c>
      <c r="AT461" s="9" t="str">
        <f>IFERROR(MID(VLOOKUP($B461,Seqs!$A:$B,2,0),AU461,1),"")</f>
        <v>W</v>
      </c>
      <c r="AU461" s="9">
        <v>541</v>
      </c>
      <c r="AV461" s="9" t="str">
        <f>IFERROR(MID(VLOOKUP($B461,Seqs!$A:$B,2,0),AW461,1),"")</f>
        <v>T</v>
      </c>
      <c r="AW461" s="9">
        <v>542</v>
      </c>
      <c r="AX461" s="9" t="str">
        <f>IFERROR(MID(VLOOKUP($B461,Seqs!$A:$B,2,0),AY461,1),"")</f>
        <v>R</v>
      </c>
      <c r="AY461" s="9">
        <v>555</v>
      </c>
      <c r="AZ461" s="134" t="str">
        <f>VLOOKUP(B461,Classification!A:D,2,0)</f>
        <v>F</v>
      </c>
      <c r="BA461" s="98" t="str">
        <f>VLOOKUP(B461,Classification!A:D,4,0)</f>
        <v>Frizzled</v>
      </c>
      <c r="BB461" s="135" t="b">
        <f t="shared" si="4054"/>
        <v>1</v>
      </c>
      <c r="BC461" s="109">
        <f t="shared" si="4055"/>
        <v>260</v>
      </c>
      <c r="BD461" s="123" t="s">
        <v>23</v>
      </c>
      <c r="BE461" s="9" t="s">
        <v>1285</v>
      </c>
      <c r="BF461" s="119">
        <v>5.84</v>
      </c>
      <c r="BG461" s="51" t="s">
        <v>1416</v>
      </c>
      <c r="BH461" s="51" t="s">
        <v>1416</v>
      </c>
      <c r="BI461" s="9"/>
      <c r="BJ461" s="136" t="s">
        <v>1281</v>
      </c>
      <c r="BK461" s="112" t="s">
        <v>1281</v>
      </c>
      <c r="BL461" s="112" t="s">
        <v>1281</v>
      </c>
      <c r="BM461" s="112" t="s">
        <v>1281</v>
      </c>
      <c r="BN461" s="112" t="s">
        <v>1281</v>
      </c>
      <c r="BO461" s="112" t="s">
        <v>1281</v>
      </c>
      <c r="BP461" s="112" t="s">
        <v>1281</v>
      </c>
      <c r="BQ461" s="112" t="s">
        <v>1281</v>
      </c>
      <c r="BR461" s="112" t="s">
        <v>1281</v>
      </c>
      <c r="BS461" s="112" t="s">
        <v>1281</v>
      </c>
      <c r="BT461" s="112" t="s">
        <v>1281</v>
      </c>
      <c r="BU461" s="112" t="s">
        <v>1281</v>
      </c>
      <c r="BV461" s="136">
        <f t="shared" si="4056"/>
        <v>227</v>
      </c>
      <c r="BW461" s="113">
        <f t="shared" si="4057"/>
        <v>260</v>
      </c>
      <c r="BX461" s="114">
        <f t="shared" si="4058"/>
        <v>265</v>
      </c>
      <c r="BY461" s="113" t="str">
        <f t="shared" si="4059"/>
        <v>-</v>
      </c>
      <c r="BZ461" s="114">
        <f t="shared" si="4060"/>
        <v>316</v>
      </c>
      <c r="CA461" s="113" t="str">
        <f t="shared" si="4061"/>
        <v>-</v>
      </c>
      <c r="CB461" s="114">
        <f t="shared" si="4062"/>
        <v>360</v>
      </c>
      <c r="CC461" s="113">
        <f t="shared" si="4063"/>
        <v>394</v>
      </c>
      <c r="CD461" s="114">
        <f t="shared" si="4064"/>
        <v>400</v>
      </c>
      <c r="CE461" s="113">
        <f t="shared" si="4065"/>
        <v>442</v>
      </c>
      <c r="CF461" s="114">
        <f t="shared" si="4066"/>
        <v>518</v>
      </c>
      <c r="CG461" s="113">
        <f t="shared" si="4067"/>
        <v>542</v>
      </c>
      <c r="CH461" s="136">
        <f t="shared" si="4068"/>
        <v>259</v>
      </c>
      <c r="CI461" s="113">
        <f t="shared" si="4069"/>
        <v>264</v>
      </c>
      <c r="CJ461" s="114">
        <f t="shared" si="4070"/>
        <v>289</v>
      </c>
      <c r="CK461" s="114" t="str">
        <f t="shared" si="4071"/>
        <v>-</v>
      </c>
      <c r="CL461" s="114">
        <f t="shared" si="4072"/>
        <v>349</v>
      </c>
      <c r="CM461" s="114" t="str">
        <f t="shared" si="4073"/>
        <v>-</v>
      </c>
      <c r="CN461" s="114">
        <f t="shared" si="4074"/>
        <v>383</v>
      </c>
      <c r="CO461" s="114">
        <f t="shared" si="4075"/>
        <v>396</v>
      </c>
      <c r="CP461" s="114">
        <f t="shared" si="4076"/>
        <v>437</v>
      </c>
      <c r="CQ461" s="114">
        <f t="shared" si="4077"/>
        <v>499</v>
      </c>
      <c r="CR461" s="114">
        <f t="shared" si="4078"/>
        <v>541</v>
      </c>
      <c r="CS461" s="114">
        <f t="shared" si="4079"/>
        <v>555</v>
      </c>
      <c r="CT461" s="109">
        <f t="shared" si="4080"/>
        <v>1</v>
      </c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  <c r="AMK461" s="9"/>
      <c r="AML461" s="9"/>
      <c r="AMM461" s="9"/>
      <c r="AMN461" s="9"/>
      <c r="AMO461" s="9"/>
    </row>
    <row r="462" spans="1:1030" x14ac:dyDescent="0.2">
      <c r="A462" s="3" t="str">
        <f t="shared" si="4025"/>
        <v>q98sw5_xenla__wt</v>
      </c>
      <c r="B462" s="3" t="s">
        <v>1489</v>
      </c>
      <c r="C462" s="3" t="s">
        <v>100</v>
      </c>
      <c r="D462" s="3" t="str">
        <f>IFERROR(MID(VLOOKUP($B462,Seqs!$A:$B,2,0),E462,1),"")</f>
        <v>T</v>
      </c>
      <c r="E462" s="3">
        <v>196</v>
      </c>
      <c r="F462" s="3" t="str">
        <f>IFERROR(MID(VLOOKUP($B462,Seqs!$A:$B,2,0),G462,1),"")</f>
        <v>D</v>
      </c>
      <c r="G462" s="3">
        <v>228</v>
      </c>
      <c r="H462" s="3" t="str">
        <f>IFERROR(MID(VLOOKUP($B462,Seqs!$A:$B,2,0),I462,1),"")</f>
        <v>W</v>
      </c>
      <c r="I462" s="23">
        <v>229</v>
      </c>
      <c r="J462" s="3" t="str">
        <f>IFERROR(MID(VLOOKUP($B462,Seqs!$A:$B,2,0),K462,1),"")</f>
        <v>N</v>
      </c>
      <c r="K462" s="23">
        <v>233</v>
      </c>
      <c r="L462" s="3" t="str">
        <f>IFERROR(MID(VLOOKUP($B462,Seqs!$A:$B,2,0),M462,1),"")</f>
        <v>R</v>
      </c>
      <c r="M462" s="3">
        <v>234</v>
      </c>
      <c r="N462" s="3" t="str">
        <f>IFERROR(MID(VLOOKUP($B462,Seqs!$A:$B,2,0),O462,1),"")</f>
        <v>A</v>
      </c>
      <c r="O462" s="3">
        <v>256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L</v>
      </c>
      <c r="U462" s="3">
        <v>285</v>
      </c>
      <c r="V462" s="3" t="str">
        <f>IFERROR(MID(VLOOKUP($B462,Seqs!$A:$B,2,0),W462,1),"")</f>
        <v>T</v>
      </c>
      <c r="W462" s="3">
        <v>321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L</v>
      </c>
      <c r="AC462" s="3">
        <v>326</v>
      </c>
      <c r="AD462" s="3" t="str">
        <f>IFERROR(MID(VLOOKUP($B462,Seqs!$A:$B,2,0),AE462,1),"")</f>
        <v>V</v>
      </c>
      <c r="AE462" s="3">
        <v>351</v>
      </c>
      <c r="AF462" s="3" t="str">
        <f>IFERROR(MID(VLOOKUP($B462,Seqs!$A:$B,2,0),AG462,1),"")</f>
        <v>C</v>
      </c>
      <c r="AG462" s="3">
        <v>363</v>
      </c>
      <c r="AH462" s="3" t="str">
        <f>IFERROR(MID(VLOOKUP($B462,Seqs!$A:$B,2,0),AI462,1),"")</f>
        <v>V</v>
      </c>
      <c r="AI462" s="3">
        <v>365</v>
      </c>
      <c r="AJ462" s="3" t="str">
        <f>IFERROR(MID(VLOOKUP($B462,Seqs!$A:$B,2,0),AK462,1),"")</f>
        <v>N</v>
      </c>
      <c r="AK462" s="3">
        <v>369</v>
      </c>
      <c r="AL462" s="3" t="str">
        <f>IFERROR(MID(VLOOKUP($B462,Seqs!$A:$B,2,0),AM462,1),"")</f>
        <v>H</v>
      </c>
      <c r="AM462" s="3">
        <v>406</v>
      </c>
      <c r="AN462" s="3" t="str">
        <f>IFERROR(MID(VLOOKUP($B462,Seqs!$A:$B,2,0),AO462,1),"")</f>
        <v>A</v>
      </c>
      <c r="AO462" s="3">
        <v>415</v>
      </c>
      <c r="AP462" s="3" t="str">
        <f>IFERROR(MID(VLOOKUP($B462,Seqs!$A:$B,2,0),AQ462,1),"")</f>
        <v>Q</v>
      </c>
      <c r="AQ462" s="3">
        <v>472</v>
      </c>
      <c r="AR462" s="3" t="str">
        <f>IFERROR(MID(VLOOKUP($B462,Seqs!$A:$B,2,0),AS462,1),"")</f>
        <v>S</v>
      </c>
      <c r="AS462" s="3">
        <v>487</v>
      </c>
      <c r="AT462" s="3" t="str">
        <f>IFERROR(MID(VLOOKUP($B462,Seqs!$A:$B,2,0),AU462,1),"")</f>
        <v>W</v>
      </c>
      <c r="AU462" s="3">
        <v>510</v>
      </c>
      <c r="AV462" s="3" t="str">
        <f>IFERROR(MID(VLOOKUP($B462,Seqs!$A:$B,2,0),AW462,1),"")</f>
        <v>T</v>
      </c>
      <c r="AW462" s="3">
        <v>511</v>
      </c>
      <c r="AX462" s="3" t="str">
        <f>IFERROR(MID(VLOOKUP($B462,Seqs!$A:$B,2,0),AY462,1),"")</f>
        <v>L</v>
      </c>
      <c r="AY462" s="3">
        <v>526</v>
      </c>
      <c r="AZ462" s="78" t="str">
        <f>VLOOKUP(B462,Classification!A:D,2,0)</f>
        <v>F</v>
      </c>
      <c r="BA462" s="94" t="str">
        <f>VLOOKUP(B462,Classification!A:D,4,0)</f>
        <v>Frizzled</v>
      </c>
      <c r="BB462" s="92" t="b">
        <f t="shared" si="4026"/>
        <v>1</v>
      </c>
      <c r="BC462" s="23">
        <f t="shared" si="4027"/>
        <v>265</v>
      </c>
      <c r="BD462" s="74" t="s">
        <v>23</v>
      </c>
      <c r="BE462" s="3" t="s">
        <v>1368</v>
      </c>
      <c r="BF462" s="118" t="s">
        <v>23</v>
      </c>
      <c r="BG462" s="49" t="s">
        <v>1</v>
      </c>
      <c r="BH462" s="49" t="s">
        <v>1</v>
      </c>
      <c r="BJ462" s="75" t="s">
        <v>1281</v>
      </c>
      <c r="BK462" s="57" t="s">
        <v>1281</v>
      </c>
      <c r="BL462" s="57" t="s">
        <v>1281</v>
      </c>
      <c r="BM462" s="57" t="s">
        <v>1281</v>
      </c>
      <c r="BN462" s="57" t="s">
        <v>1281</v>
      </c>
      <c r="BO462" s="57" t="s">
        <v>1281</v>
      </c>
      <c r="BP462" s="57" t="s">
        <v>1281</v>
      </c>
      <c r="BQ462" s="57" t="s">
        <v>1281</v>
      </c>
      <c r="BR462" s="57" t="s">
        <v>1281</v>
      </c>
      <c r="BS462" s="57" t="s">
        <v>1281</v>
      </c>
      <c r="BT462" s="57" t="s">
        <v>1281</v>
      </c>
      <c r="BU462" s="57" t="s">
        <v>1281</v>
      </c>
      <c r="BV462" s="75">
        <f t="shared" si="4028"/>
        <v>196</v>
      </c>
      <c r="BW462" s="71">
        <f t="shared" si="4029"/>
        <v>229</v>
      </c>
      <c r="BX462" s="72">
        <f t="shared" si="4030"/>
        <v>234</v>
      </c>
      <c r="BY462" s="71" t="str">
        <f t="shared" si="4031"/>
        <v>-</v>
      </c>
      <c r="BZ462" s="72">
        <f t="shared" si="4032"/>
        <v>285</v>
      </c>
      <c r="CA462" s="71" t="str">
        <f t="shared" si="4033"/>
        <v>-</v>
      </c>
      <c r="CB462" s="72">
        <f t="shared" si="4034"/>
        <v>326</v>
      </c>
      <c r="CC462" s="71">
        <f t="shared" si="4035"/>
        <v>363</v>
      </c>
      <c r="CD462" s="72">
        <f t="shared" si="4036"/>
        <v>369</v>
      </c>
      <c r="CE462" s="71">
        <f t="shared" si="4037"/>
        <v>415</v>
      </c>
      <c r="CF462" s="72">
        <f t="shared" si="4038"/>
        <v>487</v>
      </c>
      <c r="CG462" s="71">
        <f t="shared" si="4039"/>
        <v>511</v>
      </c>
      <c r="CH462" s="75">
        <f t="shared" si="4040"/>
        <v>228</v>
      </c>
      <c r="CI462" s="71">
        <f t="shared" si="4041"/>
        <v>233</v>
      </c>
      <c r="CJ462" s="72">
        <f t="shared" si="4042"/>
        <v>256</v>
      </c>
      <c r="CK462" s="72" t="str">
        <f t="shared" si="4043"/>
        <v>-</v>
      </c>
      <c r="CL462" s="72">
        <f t="shared" si="4044"/>
        <v>321</v>
      </c>
      <c r="CM462" s="72" t="str">
        <f t="shared" si="4045"/>
        <v>-</v>
      </c>
      <c r="CN462" s="72">
        <f t="shared" si="4046"/>
        <v>351</v>
      </c>
      <c r="CO462" s="72">
        <f t="shared" si="4047"/>
        <v>365</v>
      </c>
      <c r="CP462" s="72">
        <f t="shared" si="4048"/>
        <v>406</v>
      </c>
      <c r="CQ462" s="72">
        <f t="shared" si="4049"/>
        <v>472</v>
      </c>
      <c r="CR462" s="72">
        <f t="shared" si="4050"/>
        <v>510</v>
      </c>
      <c r="CS462" s="72">
        <f t="shared" si="4051"/>
        <v>526</v>
      </c>
      <c r="CT462" s="23">
        <f t="shared" si="4052"/>
        <v>1</v>
      </c>
    </row>
    <row r="463" spans="1:1030" x14ac:dyDescent="0.2">
      <c r="A463" s="3" t="str">
        <f t="shared" si="4025"/>
        <v>q98sw5_xenla_6D32</v>
      </c>
      <c r="B463" s="3" t="s">
        <v>1489</v>
      </c>
      <c r="C463" s="3" t="s">
        <v>1488</v>
      </c>
      <c r="D463" s="3" t="str">
        <f>IFERROR(MID(VLOOKUP($B463,Seqs!$A:$B,2,0),E463,1),"")</f>
        <v>T</v>
      </c>
      <c r="E463" s="3">
        <v>196</v>
      </c>
      <c r="F463" s="3" t="str">
        <f>IFERROR(MID(VLOOKUP($B463,Seqs!$A:$B,2,0),G463,1),"")</f>
        <v>D</v>
      </c>
      <c r="G463" s="3">
        <v>228</v>
      </c>
      <c r="H463" s="3" t="str">
        <f>IFERROR(MID(VLOOKUP($B463,Seqs!$A:$B,2,0),I463,1),"")</f>
        <v>W</v>
      </c>
      <c r="I463" s="23">
        <v>229</v>
      </c>
      <c r="J463" s="3" t="str">
        <f>IFERROR(MID(VLOOKUP($B463,Seqs!$A:$B,2,0),K463,1),"")</f>
        <v>N</v>
      </c>
      <c r="K463" s="23">
        <v>233</v>
      </c>
      <c r="L463" s="3" t="str">
        <f>IFERROR(MID(VLOOKUP($B463,Seqs!$A:$B,2,0),M463,1),"")</f>
        <v>R</v>
      </c>
      <c r="M463" s="3">
        <v>234</v>
      </c>
      <c r="N463" s="3" t="str">
        <f>IFERROR(MID(VLOOKUP($B463,Seqs!$A:$B,2,0),O463,1),"")</f>
        <v>A</v>
      </c>
      <c r="O463" s="3">
        <v>256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L</v>
      </c>
      <c r="U463" s="3">
        <v>285</v>
      </c>
      <c r="V463" s="3" t="str">
        <f>IFERROR(MID(VLOOKUP($B463,Seqs!$A:$B,2,0),W463,1),"")</f>
        <v>K</v>
      </c>
      <c r="W463" s="3">
        <v>317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K</v>
      </c>
      <c r="AC463" s="3">
        <v>329</v>
      </c>
      <c r="AD463" s="3" t="str">
        <f>IFERROR(MID(VLOOKUP($B463,Seqs!$A:$B,2,0),AE463,1),"")</f>
        <v>V</v>
      </c>
      <c r="AE463" s="3">
        <v>351</v>
      </c>
      <c r="AF463" s="3" t="str">
        <f>IFERROR(MID(VLOOKUP($B463,Seqs!$A:$B,2,0),AG463,1),"")</f>
        <v>C</v>
      </c>
      <c r="AG463" s="3">
        <v>363</v>
      </c>
      <c r="AH463" s="3" t="str">
        <f>IFERROR(MID(VLOOKUP($B463,Seqs!$A:$B,2,0),AI463,1),"")</f>
        <v>V</v>
      </c>
      <c r="AI463" s="3">
        <v>365</v>
      </c>
      <c r="AJ463" s="3" t="str">
        <f>IFERROR(MID(VLOOKUP($B463,Seqs!$A:$B,2,0),AK463,1),"")</f>
        <v>N</v>
      </c>
      <c r="AK463" s="3">
        <v>369</v>
      </c>
      <c r="AL463" s="3" t="str">
        <f>IFERROR(MID(VLOOKUP($B463,Seqs!$A:$B,2,0),AM463,1),"")</f>
        <v>S</v>
      </c>
      <c r="AM463" s="3">
        <v>401</v>
      </c>
      <c r="AN463" s="3" t="str">
        <f>IFERROR(MID(VLOOKUP($B463,Seqs!$A:$B,2,0),AO463,1),"")</f>
        <v>S</v>
      </c>
      <c r="AO463" s="3">
        <v>416</v>
      </c>
      <c r="AP463" s="3" t="str">
        <f>IFERROR(MID(VLOOKUP($B463,Seqs!$A:$B,2,0),AQ463,1),"")</f>
        <v>Q</v>
      </c>
      <c r="AQ463" s="3">
        <v>472</v>
      </c>
      <c r="AR463" s="3" t="str">
        <f>IFERROR(MID(VLOOKUP($B463,Seqs!$A:$B,2,0),AS463,1),"")</f>
        <v>S</v>
      </c>
      <c r="AS463" s="3">
        <v>487</v>
      </c>
      <c r="AT463" s="3" t="str">
        <f>IFERROR(MID(VLOOKUP($B463,Seqs!$A:$B,2,0),AU463,1),"")</f>
        <v>W</v>
      </c>
      <c r="AU463" s="3">
        <v>510</v>
      </c>
      <c r="AV463" s="3" t="str">
        <f>IFERROR(MID(VLOOKUP($B463,Seqs!$A:$B,2,0),AW463,1),"")</f>
        <v>T</v>
      </c>
      <c r="AW463" s="3">
        <v>511</v>
      </c>
      <c r="AX463" s="3" t="str">
        <f>IFERROR(MID(VLOOKUP($B463,Seqs!$A:$B,2,0),AY463,1),"")</f>
        <v>R</v>
      </c>
      <c r="AY463" s="3">
        <v>520</v>
      </c>
      <c r="AZ463" s="78" t="str">
        <f>VLOOKUP(B463,Classification!A:D,2,0)</f>
        <v>F</v>
      </c>
      <c r="BA463" s="94" t="str">
        <f>VLOOKUP(B463,Classification!A:D,4,0)</f>
        <v>Frizzled</v>
      </c>
      <c r="BB463" s="92" t="b">
        <f t="shared" si="4026"/>
        <v>1</v>
      </c>
      <c r="BC463" s="23">
        <f t="shared" si="4027"/>
        <v>246</v>
      </c>
      <c r="BD463" s="74" t="s">
        <v>23</v>
      </c>
      <c r="BE463" s="3" t="s">
        <v>1368</v>
      </c>
      <c r="BF463" s="118">
        <v>3.7509999999999999</v>
      </c>
      <c r="BG463" s="49" t="s">
        <v>1</v>
      </c>
      <c r="BH463" s="49" t="s">
        <v>1</v>
      </c>
      <c r="BJ463" s="75" t="s">
        <v>1281</v>
      </c>
      <c r="BK463" s="57" t="s">
        <v>1281</v>
      </c>
      <c r="BL463" s="57" t="s">
        <v>1281</v>
      </c>
      <c r="BM463" s="57" t="s">
        <v>1281</v>
      </c>
      <c r="BN463" s="57" t="s">
        <v>1281</v>
      </c>
      <c r="BO463" s="57" t="s">
        <v>1281</v>
      </c>
      <c r="BP463" s="57" t="s">
        <v>1281</v>
      </c>
      <c r="BQ463" s="57" t="s">
        <v>1281</v>
      </c>
      <c r="BR463" s="57" t="s">
        <v>1281</v>
      </c>
      <c r="BS463" s="57" t="s">
        <v>1281</v>
      </c>
      <c r="BT463" s="57" t="s">
        <v>1281</v>
      </c>
      <c r="BU463" s="57" t="s">
        <v>1281</v>
      </c>
      <c r="BV463" s="75">
        <f t="shared" si="4028"/>
        <v>196</v>
      </c>
      <c r="BW463" s="71">
        <f t="shared" si="4029"/>
        <v>229</v>
      </c>
      <c r="BX463" s="72">
        <f t="shared" si="4030"/>
        <v>234</v>
      </c>
      <c r="BY463" s="71" t="str">
        <f t="shared" si="4031"/>
        <v>-</v>
      </c>
      <c r="BZ463" s="72">
        <f t="shared" si="4032"/>
        <v>285</v>
      </c>
      <c r="CA463" s="71" t="str">
        <f t="shared" si="4033"/>
        <v>-</v>
      </c>
      <c r="CB463" s="72">
        <f t="shared" si="4034"/>
        <v>329</v>
      </c>
      <c r="CC463" s="71">
        <f t="shared" si="4035"/>
        <v>363</v>
      </c>
      <c r="CD463" s="72">
        <f t="shared" si="4036"/>
        <v>369</v>
      </c>
      <c r="CE463" s="71">
        <f t="shared" si="4037"/>
        <v>416</v>
      </c>
      <c r="CF463" s="72">
        <f t="shared" si="4038"/>
        <v>487</v>
      </c>
      <c r="CG463" s="71">
        <f t="shared" si="4039"/>
        <v>511</v>
      </c>
      <c r="CH463" s="75">
        <f t="shared" si="4040"/>
        <v>228</v>
      </c>
      <c r="CI463" s="71">
        <f t="shared" si="4041"/>
        <v>233</v>
      </c>
      <c r="CJ463" s="72">
        <f t="shared" si="4042"/>
        <v>256</v>
      </c>
      <c r="CK463" s="72" t="str">
        <f t="shared" si="4043"/>
        <v>-</v>
      </c>
      <c r="CL463" s="72">
        <f t="shared" si="4044"/>
        <v>317</v>
      </c>
      <c r="CM463" s="72" t="str">
        <f t="shared" si="4045"/>
        <v>-</v>
      </c>
      <c r="CN463" s="72">
        <f t="shared" si="4046"/>
        <v>351</v>
      </c>
      <c r="CO463" s="72">
        <f t="shared" si="4047"/>
        <v>365</v>
      </c>
      <c r="CP463" s="72">
        <f t="shared" si="4048"/>
        <v>401</v>
      </c>
      <c r="CQ463" s="72">
        <f t="shared" si="4049"/>
        <v>472</v>
      </c>
      <c r="CR463" s="72">
        <f t="shared" si="4050"/>
        <v>510</v>
      </c>
      <c r="CS463" s="72">
        <f t="shared" si="4051"/>
        <v>520</v>
      </c>
      <c r="CT463" s="23">
        <f t="shared" si="4052"/>
        <v>1</v>
      </c>
    </row>
    <row r="464" spans="1:1030" x14ac:dyDescent="0.2">
      <c r="A464" s="3" t="str">
        <f t="shared" si="4025"/>
        <v>q98sw5_xenla_6D35</v>
      </c>
      <c r="B464" s="3" t="s">
        <v>1489</v>
      </c>
      <c r="C464" s="3" t="s">
        <v>1491</v>
      </c>
      <c r="D464" s="3" t="str">
        <f>IFERROR(MID(VLOOKUP($B464,Seqs!$A:$B,2,0),E464,1),"")</f>
        <v>T</v>
      </c>
      <c r="E464" s="3">
        <v>196</v>
      </c>
      <c r="F464" s="3" t="str">
        <f>IFERROR(MID(VLOOKUP($B464,Seqs!$A:$B,2,0),G464,1),"")</f>
        <v>D</v>
      </c>
      <c r="G464" s="3">
        <v>228</v>
      </c>
      <c r="H464" s="3" t="str">
        <f>IFERROR(MID(VLOOKUP($B464,Seqs!$A:$B,2,0),I464,1),"")</f>
        <v>W</v>
      </c>
      <c r="I464" s="23">
        <v>229</v>
      </c>
      <c r="J464" s="3" t="str">
        <f>IFERROR(MID(VLOOKUP($B464,Seqs!$A:$B,2,0),K464,1),"")</f>
        <v>N</v>
      </c>
      <c r="K464" s="23">
        <v>233</v>
      </c>
      <c r="L464" s="3" t="str">
        <f>IFERROR(MID(VLOOKUP($B464,Seqs!$A:$B,2,0),M464,1),"")</f>
        <v>R</v>
      </c>
      <c r="M464" s="3">
        <v>234</v>
      </c>
      <c r="N464" s="3" t="str">
        <f>IFERROR(MID(VLOOKUP($B464,Seqs!$A:$B,2,0),O464,1),"")</f>
        <v>A</v>
      </c>
      <c r="O464" s="3">
        <v>256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L</v>
      </c>
      <c r="U464" s="3">
        <v>285</v>
      </c>
      <c r="V464" s="3" t="str">
        <f>IFERROR(MID(VLOOKUP($B464,Seqs!$A:$B,2,0),W464,1),"")</f>
        <v>K</v>
      </c>
      <c r="W464" s="3">
        <v>317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K</v>
      </c>
      <c r="AC464" s="3">
        <v>329</v>
      </c>
      <c r="AD464" s="3" t="str">
        <f>IFERROR(MID(VLOOKUP($B464,Seqs!$A:$B,2,0),AE464,1),"")</f>
        <v>V</v>
      </c>
      <c r="AE464" s="3">
        <v>351</v>
      </c>
      <c r="AF464" s="3" t="str">
        <f>IFERROR(MID(VLOOKUP($B464,Seqs!$A:$B,2,0),AG464,1),"")</f>
        <v>C</v>
      </c>
      <c r="AG464" s="3">
        <v>363</v>
      </c>
      <c r="AH464" s="3" t="str">
        <f>IFERROR(MID(VLOOKUP($B464,Seqs!$A:$B,2,0),AI464,1),"")</f>
        <v>V</v>
      </c>
      <c r="AI464" s="3">
        <v>365</v>
      </c>
      <c r="AJ464" s="3" t="str">
        <f>IFERROR(MID(VLOOKUP($B464,Seqs!$A:$B,2,0),AK464,1),"")</f>
        <v>N</v>
      </c>
      <c r="AK464" s="3">
        <v>369</v>
      </c>
      <c r="AL464" s="3" t="str">
        <f>IFERROR(MID(VLOOKUP($B464,Seqs!$A:$B,2,0),AM464,1),"")</f>
        <v>S</v>
      </c>
      <c r="AM464" s="3">
        <v>401</v>
      </c>
      <c r="AN464" s="3" t="str">
        <f>IFERROR(MID(VLOOKUP($B464,Seqs!$A:$B,2,0),AO464,1),"")</f>
        <v>S</v>
      </c>
      <c r="AO464" s="3">
        <v>416</v>
      </c>
      <c r="AP464" s="3" t="str">
        <f>IFERROR(MID(VLOOKUP($B464,Seqs!$A:$B,2,0),AQ464,1),"")</f>
        <v>Q</v>
      </c>
      <c r="AQ464" s="3">
        <v>472</v>
      </c>
      <c r="AR464" s="3" t="str">
        <f>IFERROR(MID(VLOOKUP($B464,Seqs!$A:$B,2,0),AS464,1),"")</f>
        <v>S</v>
      </c>
      <c r="AS464" s="3">
        <v>487</v>
      </c>
      <c r="AT464" s="3" t="str">
        <f>IFERROR(MID(VLOOKUP($B464,Seqs!$A:$B,2,0),AU464,1),"")</f>
        <v>W</v>
      </c>
      <c r="AU464" s="3">
        <v>510</v>
      </c>
      <c r="AV464" s="3" t="str">
        <f>IFERROR(MID(VLOOKUP($B464,Seqs!$A:$B,2,0),AW464,1),"")</f>
        <v>T</v>
      </c>
      <c r="AW464" s="3">
        <v>511</v>
      </c>
      <c r="AX464" s="3" t="str">
        <f>IFERROR(MID(VLOOKUP($B464,Seqs!$A:$B,2,0),AY464,1),"")</f>
        <v>R</v>
      </c>
      <c r="AY464" s="3">
        <v>520</v>
      </c>
      <c r="AZ464" s="78" t="str">
        <f>VLOOKUP(B464,Classification!A:D,2,0)</f>
        <v>F</v>
      </c>
      <c r="BA464" s="94" t="str">
        <f>VLOOKUP(B464,Classification!A:D,4,0)</f>
        <v>Frizzled</v>
      </c>
      <c r="BB464" s="92" t="b">
        <f t="shared" si="4026"/>
        <v>1</v>
      </c>
      <c r="BC464" s="23">
        <f t="shared" si="4027"/>
        <v>246</v>
      </c>
      <c r="BD464" s="74" t="s">
        <v>23</v>
      </c>
      <c r="BE464" s="3" t="s">
        <v>1368</v>
      </c>
      <c r="BF464" s="118">
        <v>3.9</v>
      </c>
      <c r="BG464" s="49" t="s">
        <v>1</v>
      </c>
      <c r="BH464" s="49" t="s">
        <v>1</v>
      </c>
      <c r="BJ464" s="75" t="s">
        <v>1281</v>
      </c>
      <c r="BK464" s="57" t="s">
        <v>1281</v>
      </c>
      <c r="BL464" s="57" t="s">
        <v>1281</v>
      </c>
      <c r="BM464" s="57" t="s">
        <v>1281</v>
      </c>
      <c r="BN464" s="57" t="s">
        <v>1281</v>
      </c>
      <c r="BO464" s="57" t="s">
        <v>1281</v>
      </c>
      <c r="BP464" s="57" t="s">
        <v>1281</v>
      </c>
      <c r="BQ464" s="57" t="s">
        <v>1281</v>
      </c>
      <c r="BR464" s="57" t="s">
        <v>1281</v>
      </c>
      <c r="BS464" s="57" t="s">
        <v>1281</v>
      </c>
      <c r="BT464" s="57" t="s">
        <v>1281</v>
      </c>
      <c r="BU464" s="57" t="s">
        <v>1281</v>
      </c>
      <c r="BV464" s="75">
        <f t="shared" si="4028"/>
        <v>196</v>
      </c>
      <c r="BW464" s="71">
        <f t="shared" si="4029"/>
        <v>229</v>
      </c>
      <c r="BX464" s="72">
        <f t="shared" si="4030"/>
        <v>234</v>
      </c>
      <c r="BY464" s="71" t="str">
        <f t="shared" si="4031"/>
        <v>-</v>
      </c>
      <c r="BZ464" s="72">
        <f t="shared" si="4032"/>
        <v>285</v>
      </c>
      <c r="CA464" s="71" t="str">
        <f t="shared" si="4033"/>
        <v>-</v>
      </c>
      <c r="CB464" s="72">
        <f t="shared" si="4034"/>
        <v>329</v>
      </c>
      <c r="CC464" s="71">
        <f t="shared" si="4035"/>
        <v>363</v>
      </c>
      <c r="CD464" s="72">
        <f t="shared" si="4036"/>
        <v>369</v>
      </c>
      <c r="CE464" s="71">
        <f t="shared" si="4037"/>
        <v>416</v>
      </c>
      <c r="CF464" s="72">
        <f t="shared" si="4038"/>
        <v>487</v>
      </c>
      <c r="CG464" s="71">
        <f t="shared" si="4039"/>
        <v>511</v>
      </c>
      <c r="CH464" s="75">
        <f t="shared" si="4040"/>
        <v>228</v>
      </c>
      <c r="CI464" s="71">
        <f t="shared" si="4041"/>
        <v>233</v>
      </c>
      <c r="CJ464" s="72">
        <f t="shared" si="4042"/>
        <v>256</v>
      </c>
      <c r="CK464" s="72" t="str">
        <f t="shared" si="4043"/>
        <v>-</v>
      </c>
      <c r="CL464" s="72">
        <f t="shared" si="4044"/>
        <v>317</v>
      </c>
      <c r="CM464" s="72" t="str">
        <f t="shared" si="4045"/>
        <v>-</v>
      </c>
      <c r="CN464" s="72">
        <f t="shared" si="4046"/>
        <v>351</v>
      </c>
      <c r="CO464" s="72">
        <f t="shared" si="4047"/>
        <v>365</v>
      </c>
      <c r="CP464" s="72">
        <f t="shared" si="4048"/>
        <v>401</v>
      </c>
      <c r="CQ464" s="72">
        <f t="shared" si="4049"/>
        <v>472</v>
      </c>
      <c r="CR464" s="72">
        <f t="shared" si="4050"/>
        <v>510</v>
      </c>
      <c r="CS464" s="72">
        <f t="shared" si="4051"/>
        <v>520</v>
      </c>
      <c r="CT464" s="23">
        <f t="shared" si="4052"/>
        <v>1</v>
      </c>
    </row>
    <row r="538" spans="52:86" x14ac:dyDescent="0.2">
      <c r="AZ538" s="77"/>
      <c r="BA538" s="28"/>
      <c r="BB538" s="16"/>
      <c r="BD538" s="2"/>
      <c r="BJ538" s="70"/>
      <c r="BV538" s="70"/>
      <c r="CH538" s="70"/>
    </row>
  </sheetData>
  <sortState xmlns:xlrd2="http://schemas.microsoft.com/office/spreadsheetml/2017/richdata2"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8 BB74 BB29:BB33 BB36:BB40">
    <cfRule type="cellIs" dxfId="70" priority="10" operator="equal">
      <formula>0</formula>
    </cfRule>
  </conditionalFormatting>
  <conditionalFormatting sqref="BB355:BB356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80">
    <cfRule type="cellIs" dxfId="67" priority="13" operator="equal">
      <formula>0</formula>
    </cfRule>
  </conditionalFormatting>
  <conditionalFormatting sqref="E380 AW380 AU380 AS380 AQ380 AO380 AM380 AK380 AI380 AG380 AE380 AC380 AA380 Y380 W380 U380 S380 Q380 O380 M380 K380 I380 G380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5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73"/>
  <sheetViews>
    <sheetView workbookViewId="0">
      <pane ySplit="1" topLeftCell="A38" activePane="bottomLeft" state="frozenSplit"/>
      <selection pane="bottomLeft" activeCell="C82" sqref="C8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1070</v>
      </c>
      <c r="B1" s="30" t="s">
        <v>31</v>
      </c>
      <c r="C1" s="30" t="s">
        <v>1054</v>
      </c>
      <c r="D1" s="30" t="s">
        <v>1055</v>
      </c>
      <c r="E1" s="30" t="s">
        <v>1071</v>
      </c>
      <c r="F1" s="30" t="s">
        <v>1072</v>
      </c>
      <c r="G1" s="30" t="s">
        <v>1056</v>
      </c>
      <c r="H1" s="30" t="s">
        <v>1057</v>
      </c>
      <c r="I1" s="30" t="s">
        <v>1073</v>
      </c>
      <c r="J1" s="30" t="s">
        <v>1074</v>
      </c>
      <c r="K1" s="30" t="s">
        <v>1058</v>
      </c>
      <c r="L1" s="30" t="s">
        <v>1059</v>
      </c>
      <c r="M1" s="30" t="s">
        <v>1086</v>
      </c>
      <c r="N1" s="30" t="s">
        <v>1087</v>
      </c>
      <c r="O1" s="30" t="s">
        <v>1060</v>
      </c>
      <c r="P1" s="30" t="s">
        <v>1061</v>
      </c>
      <c r="Q1" s="30" t="s">
        <v>1089</v>
      </c>
      <c r="R1" s="30" t="s">
        <v>1090</v>
      </c>
      <c r="S1" s="30" t="s">
        <v>1062</v>
      </c>
      <c r="T1" s="30" t="s">
        <v>1063</v>
      </c>
      <c r="U1" s="30" t="s">
        <v>1064</v>
      </c>
      <c r="V1" s="30" t="s">
        <v>1065</v>
      </c>
      <c r="W1" s="30" t="s">
        <v>1066</v>
      </c>
      <c r="X1" s="30" t="s">
        <v>1067</v>
      </c>
      <c r="Y1" s="30" t="s">
        <v>1068</v>
      </c>
      <c r="Z1" s="30" t="s">
        <v>1069</v>
      </c>
      <c r="AA1" s="30" t="s">
        <v>99</v>
      </c>
      <c r="AB1" s="95" t="s">
        <v>1374</v>
      </c>
      <c r="AC1" s="30" t="s">
        <v>1283</v>
      </c>
      <c r="AD1" s="30" t="s">
        <v>1282</v>
      </c>
      <c r="AE1" s="30" t="s">
        <v>1276</v>
      </c>
      <c r="AF1" s="30" t="s">
        <v>1224</v>
      </c>
      <c r="AG1" s="30" t="s">
        <v>1277</v>
      </c>
      <c r="AH1" s="30" t="s">
        <v>1235</v>
      </c>
      <c r="AI1" s="30" t="s">
        <v>1279</v>
      </c>
      <c r="AJ1" s="30" t="s">
        <v>1269</v>
      </c>
      <c r="AK1" s="30" t="s">
        <v>1278</v>
      </c>
      <c r="AL1" s="30" t="s">
        <v>1284</v>
      </c>
      <c r="AM1" s="30" t="s">
        <v>1233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1361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1373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1458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1249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1439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1237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1238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1462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1243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1240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1242</v>
      </c>
      <c r="B12" s="2" t="s">
        <v>903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1241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1384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1239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1271</v>
      </c>
    </row>
    <row r="16" spans="1:64" s="2" customFormat="1" x14ac:dyDescent="0.2">
      <c r="A16" s="2" t="s">
        <v>1245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1244</v>
      </c>
      <c r="B17" s="2" t="s">
        <v>905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1246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1387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1409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1356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1248</v>
      </c>
      <c r="B22" s="2" t="s">
        <v>1165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1268</v>
      </c>
      <c r="B23" s="2" t="s">
        <v>917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1247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1323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1250</v>
      </c>
      <c r="B26" s="2" t="s">
        <v>1166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1251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1252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1267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1253</v>
      </c>
      <c r="B30" s="2" t="s">
        <v>907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1255</v>
      </c>
      <c r="B31" s="2" t="s">
        <v>909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1256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1258</v>
      </c>
      <c r="B33" s="2" t="s">
        <v>1167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1257</v>
      </c>
      <c r="B34" s="2" t="s">
        <v>911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1254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1259</v>
      </c>
      <c r="B36" s="2" t="s">
        <v>913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1272</v>
      </c>
      <c r="AP36" s="2" t="s">
        <v>1274</v>
      </c>
    </row>
    <row r="37" spans="1:64" s="2" customFormat="1" x14ac:dyDescent="0.2">
      <c r="A37" s="2" t="s">
        <v>1261</v>
      </c>
      <c r="B37" s="2" t="s">
        <v>915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1260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1263</v>
      </c>
      <c r="B39" s="2" t="s">
        <v>1169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1262</v>
      </c>
      <c r="B40" s="2" t="s">
        <v>1168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1264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1265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1266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1414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1489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1434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1445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1501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467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444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1588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1591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4"/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49"/>
      <c r="AB83" s="96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2"/>
      <c r="AN83" s="38"/>
      <c r="AO83" s="30" t="s">
        <v>1054</v>
      </c>
      <c r="AP83" s="30" t="s">
        <v>1055</v>
      </c>
      <c r="AQ83" s="30" t="s">
        <v>1071</v>
      </c>
      <c r="AR83" s="30" t="s">
        <v>1072</v>
      </c>
      <c r="AS83" s="30" t="s">
        <v>1056</v>
      </c>
      <c r="AT83" s="30" t="s">
        <v>1057</v>
      </c>
      <c r="AU83" s="30" t="s">
        <v>1073</v>
      </c>
      <c r="AV83" s="30" t="s">
        <v>1074</v>
      </c>
      <c r="AW83" s="30" t="s">
        <v>1058</v>
      </c>
      <c r="AX83" s="30" t="s">
        <v>1059</v>
      </c>
      <c r="AY83" s="30" t="s">
        <v>1086</v>
      </c>
      <c r="AZ83" s="30" t="s">
        <v>1087</v>
      </c>
      <c r="BA83" s="30" t="s">
        <v>1060</v>
      </c>
      <c r="BB83" s="30" t="s">
        <v>1061</v>
      </c>
      <c r="BC83" s="30" t="s">
        <v>1089</v>
      </c>
      <c r="BD83" s="30" t="s">
        <v>1090</v>
      </c>
      <c r="BE83" s="30" t="s">
        <v>1062</v>
      </c>
      <c r="BF83" s="30" t="s">
        <v>1063</v>
      </c>
      <c r="BG83" s="30" t="s">
        <v>1064</v>
      </c>
      <c r="BH83" s="30" t="s">
        <v>1065</v>
      </c>
      <c r="BI83" s="30" t="s">
        <v>1066</v>
      </c>
      <c r="BJ83" s="30" t="s">
        <v>1067</v>
      </c>
      <c r="BK83" s="30" t="s">
        <v>1068</v>
      </c>
      <c r="BL83" s="30" t="s">
        <v>1069</v>
      </c>
    </row>
    <row r="84" spans="1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1</v>
      </c>
      <c r="AO84" s="4">
        <f t="shared" ref="AO84:BL84" si="8">MAX(C2:C42)</f>
        <v>34</v>
      </c>
      <c r="AP84" s="4">
        <f t="shared" si="8"/>
        <v>64</v>
      </c>
      <c r="AQ84" s="4">
        <f t="shared" si="8"/>
        <v>48</v>
      </c>
      <c r="AR84" s="4">
        <f t="shared" si="8"/>
        <v>52</v>
      </c>
      <c r="AS84" s="4">
        <f t="shared" si="8"/>
        <v>38</v>
      </c>
      <c r="AT84" s="4">
        <f t="shared" si="8"/>
        <v>69</v>
      </c>
      <c r="AU84" s="4">
        <f t="shared" si="8"/>
        <v>50</v>
      </c>
      <c r="AV84" s="4">
        <f t="shared" si="8"/>
        <v>53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58</v>
      </c>
      <c r="BA84" s="4">
        <f t="shared" si="8"/>
        <v>38</v>
      </c>
      <c r="BB84" s="4">
        <f t="shared" si="8"/>
        <v>69</v>
      </c>
      <c r="BC84" s="4">
        <f t="shared" si="8"/>
        <v>50</v>
      </c>
      <c r="BD84" s="4">
        <f t="shared" si="8"/>
        <v>52</v>
      </c>
      <c r="BE84" s="4">
        <f t="shared" si="8"/>
        <v>36</v>
      </c>
      <c r="BF84" s="4">
        <f t="shared" si="8"/>
        <v>77</v>
      </c>
      <c r="BG84" s="4">
        <f t="shared" si="8"/>
        <v>30</v>
      </c>
      <c r="BH84" s="4">
        <f t="shared" si="8"/>
        <v>65</v>
      </c>
      <c r="BI84" s="4">
        <f t="shared" si="8"/>
        <v>32</v>
      </c>
      <c r="BJ84" s="4">
        <f t="shared" si="8"/>
        <v>56</v>
      </c>
      <c r="BK84" s="4">
        <f t="shared" si="8"/>
        <v>47</v>
      </c>
      <c r="BL84" s="4">
        <f t="shared" si="8"/>
        <v>69</v>
      </c>
    </row>
    <row r="85" spans="1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MIN(C2:C42)</f>
        <v>22</v>
      </c>
      <c r="AP85" s="4">
        <f t="shared" si="9"/>
        <v>60</v>
      </c>
      <c r="AQ85" s="4">
        <f t="shared" si="9"/>
        <v>48</v>
      </c>
      <c r="AR85" s="4">
        <f t="shared" si="9"/>
        <v>51</v>
      </c>
      <c r="AS85" s="4">
        <f t="shared" si="9"/>
        <v>34</v>
      </c>
      <c r="AT85" s="4">
        <f t="shared" si="9"/>
        <v>63</v>
      </c>
      <c r="AU85" s="4">
        <f t="shared" si="9"/>
        <v>47</v>
      </c>
      <c r="AV85" s="4">
        <f t="shared" si="9"/>
        <v>52</v>
      </c>
      <c r="AW85" s="4">
        <f t="shared" si="9"/>
        <v>18</v>
      </c>
      <c r="AX85" s="4">
        <f t="shared" si="9"/>
        <v>55</v>
      </c>
      <c r="AY85" s="4">
        <f t="shared" si="9"/>
        <v>50</v>
      </c>
      <c r="AZ85" s="4">
        <f t="shared" si="9"/>
        <v>53</v>
      </c>
      <c r="BA85" s="4">
        <f t="shared" si="9"/>
        <v>35</v>
      </c>
      <c r="BB85" s="4">
        <f t="shared" si="9"/>
        <v>62</v>
      </c>
      <c r="BC85" s="4">
        <f t="shared" si="9"/>
        <v>50</v>
      </c>
      <c r="BD85" s="4">
        <f t="shared" si="9"/>
        <v>52</v>
      </c>
      <c r="BE85" s="4">
        <f t="shared" si="9"/>
        <v>28</v>
      </c>
      <c r="BF85" s="4">
        <f t="shared" si="9"/>
        <v>67</v>
      </c>
      <c r="BG85" s="4">
        <f t="shared" si="9"/>
        <v>18</v>
      </c>
      <c r="BH85" s="4">
        <f t="shared" si="9"/>
        <v>60</v>
      </c>
      <c r="BI85" s="4">
        <f t="shared" si="9"/>
        <v>24</v>
      </c>
      <c r="BJ85" s="4">
        <f t="shared" si="9"/>
        <v>55</v>
      </c>
      <c r="BK85" s="4">
        <f t="shared" si="9"/>
        <v>47</v>
      </c>
      <c r="BL85" s="4">
        <f t="shared" si="9"/>
        <v>57</v>
      </c>
    </row>
    <row r="86" spans="1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0">AO84-AO85</f>
        <v>12</v>
      </c>
      <c r="AP86" s="4">
        <f t="shared" si="10"/>
        <v>4</v>
      </c>
      <c r="AQ86" s="4">
        <f t="shared" si="10"/>
        <v>0</v>
      </c>
      <c r="AR86" s="4">
        <f t="shared" si="10"/>
        <v>1</v>
      </c>
      <c r="AS86" s="4">
        <f t="shared" si="10"/>
        <v>4</v>
      </c>
      <c r="AT86" s="4">
        <f t="shared" si="10"/>
        <v>6</v>
      </c>
      <c r="AU86" s="4">
        <f t="shared" si="10"/>
        <v>3</v>
      </c>
      <c r="AV86" s="4">
        <f t="shared" si="10"/>
        <v>1</v>
      </c>
      <c r="AW86" s="4">
        <f t="shared" si="10"/>
        <v>3</v>
      </c>
      <c r="AX86" s="4">
        <f t="shared" si="10"/>
        <v>1</v>
      </c>
      <c r="AY86" s="4">
        <f t="shared" si="10"/>
        <v>0</v>
      </c>
      <c r="AZ86" s="4">
        <f t="shared" si="10"/>
        <v>5</v>
      </c>
      <c r="BA86" s="4">
        <f t="shared" si="10"/>
        <v>3</v>
      </c>
      <c r="BB86" s="4">
        <f t="shared" si="10"/>
        <v>7</v>
      </c>
      <c r="BC86" s="4">
        <f t="shared" si="10"/>
        <v>0</v>
      </c>
      <c r="BD86" s="4">
        <f t="shared" si="10"/>
        <v>0</v>
      </c>
      <c r="BE86" s="4">
        <f t="shared" si="10"/>
        <v>8</v>
      </c>
      <c r="BF86" s="4">
        <f t="shared" si="10"/>
        <v>10</v>
      </c>
      <c r="BG86" s="4">
        <f t="shared" si="10"/>
        <v>12</v>
      </c>
      <c r="BH86" s="4">
        <f t="shared" si="10"/>
        <v>5</v>
      </c>
      <c r="BI86" s="4">
        <f t="shared" si="10"/>
        <v>8</v>
      </c>
      <c r="BJ86" s="4">
        <f t="shared" si="10"/>
        <v>1</v>
      </c>
      <c r="BK86" s="4">
        <f t="shared" si="10"/>
        <v>0</v>
      </c>
      <c r="BL86" s="4">
        <f t="shared" si="10"/>
        <v>12</v>
      </c>
    </row>
    <row r="87" spans="1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1275</v>
      </c>
      <c r="AO87" s="4">
        <f t="shared" ref="AO87:BL87" si="11">MAX(C43:C46)</f>
        <v>29</v>
      </c>
      <c r="AP87" s="4">
        <f t="shared" si="11"/>
        <v>60</v>
      </c>
      <c r="AQ87" s="4">
        <f t="shared" si="11"/>
        <v>48</v>
      </c>
      <c r="AR87" s="4">
        <f t="shared" si="11"/>
        <v>51</v>
      </c>
      <c r="AS87" s="4">
        <f t="shared" si="11"/>
        <v>37</v>
      </c>
      <c r="AT87" s="4">
        <f t="shared" si="11"/>
        <v>66</v>
      </c>
      <c r="AU87" s="4">
        <f t="shared" si="11"/>
        <v>49</v>
      </c>
      <c r="AV87" s="4">
        <f t="shared" si="11"/>
        <v>52</v>
      </c>
      <c r="AW87" s="4">
        <f t="shared" si="11"/>
        <v>23</v>
      </c>
      <c r="AX87" s="4">
        <f t="shared" si="11"/>
        <v>56</v>
      </c>
      <c r="AY87" s="4">
        <f t="shared" si="11"/>
        <v>50</v>
      </c>
      <c r="AZ87" s="4">
        <f t="shared" si="11"/>
        <v>57</v>
      </c>
      <c r="BA87" s="4">
        <f t="shared" si="11"/>
        <v>41</v>
      </c>
      <c r="BB87" s="4">
        <f t="shared" si="11"/>
        <v>68</v>
      </c>
      <c r="BC87" s="4">
        <f t="shared" si="11"/>
        <v>50</v>
      </c>
      <c r="BD87" s="4">
        <f t="shared" si="11"/>
        <v>52</v>
      </c>
      <c r="BE87" s="4">
        <f t="shared" si="11"/>
        <v>40</v>
      </c>
      <c r="BF87" s="4">
        <f t="shared" si="11"/>
        <v>70</v>
      </c>
      <c r="BG87" s="4">
        <f t="shared" si="11"/>
        <v>30</v>
      </c>
      <c r="BH87" s="4">
        <f t="shared" si="11"/>
        <v>65</v>
      </c>
      <c r="BI87" s="4">
        <f t="shared" si="11"/>
        <v>31</v>
      </c>
      <c r="BJ87" s="4">
        <f t="shared" si="11"/>
        <v>56</v>
      </c>
      <c r="BK87" s="4">
        <f t="shared" si="11"/>
        <v>47</v>
      </c>
      <c r="BL87" s="4">
        <f t="shared" si="11"/>
        <v>72</v>
      </c>
    </row>
    <row r="88" spans="1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MIN(C43:C46)</f>
        <v>19</v>
      </c>
      <c r="AP88" s="4">
        <f t="shared" si="12"/>
        <v>60</v>
      </c>
      <c r="AQ88" s="4">
        <f t="shared" si="12"/>
        <v>48</v>
      </c>
      <c r="AR88" s="4">
        <f t="shared" si="12"/>
        <v>51</v>
      </c>
      <c r="AS88" s="4">
        <f t="shared" si="12"/>
        <v>37</v>
      </c>
      <c r="AT88" s="4">
        <f t="shared" si="12"/>
        <v>63</v>
      </c>
      <c r="AU88" s="4">
        <f t="shared" si="12"/>
        <v>47</v>
      </c>
      <c r="AV88" s="4">
        <f t="shared" si="12"/>
        <v>52</v>
      </c>
      <c r="AW88" s="4">
        <f t="shared" si="12"/>
        <v>21</v>
      </c>
      <c r="AX88" s="4">
        <f t="shared" si="12"/>
        <v>56</v>
      </c>
      <c r="AY88" s="4">
        <f t="shared" si="12"/>
        <v>50</v>
      </c>
      <c r="AZ88" s="4">
        <f t="shared" si="12"/>
        <v>56</v>
      </c>
      <c r="BA88" s="4">
        <f t="shared" si="12"/>
        <v>38</v>
      </c>
      <c r="BB88" s="4">
        <f t="shared" si="12"/>
        <v>62</v>
      </c>
      <c r="BC88" s="4">
        <f t="shared" si="12"/>
        <v>50</v>
      </c>
      <c r="BD88" s="4">
        <f t="shared" si="12"/>
        <v>52</v>
      </c>
      <c r="BE88" s="4">
        <f t="shared" si="12"/>
        <v>31</v>
      </c>
      <c r="BF88" s="4">
        <f t="shared" si="12"/>
        <v>67</v>
      </c>
      <c r="BG88" s="4">
        <f t="shared" si="12"/>
        <v>25</v>
      </c>
      <c r="BH88" s="4">
        <f t="shared" si="12"/>
        <v>53</v>
      </c>
      <c r="BI88" s="4">
        <f t="shared" si="12"/>
        <v>28</v>
      </c>
      <c r="BJ88" s="4">
        <f t="shared" si="12"/>
        <v>56</v>
      </c>
      <c r="BK88" s="4">
        <f t="shared" si="12"/>
        <v>47</v>
      </c>
      <c r="BL88" s="4">
        <f t="shared" si="12"/>
        <v>61</v>
      </c>
    </row>
    <row r="89" spans="1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3">AO87-AO88</f>
        <v>10</v>
      </c>
      <c r="AP89" s="4">
        <f t="shared" si="13"/>
        <v>0</v>
      </c>
      <c r="AQ89" s="4">
        <f t="shared" si="13"/>
        <v>0</v>
      </c>
      <c r="AR89" s="4">
        <f t="shared" si="13"/>
        <v>0</v>
      </c>
      <c r="AS89" s="4">
        <f t="shared" si="13"/>
        <v>0</v>
      </c>
      <c r="AT89" s="4">
        <f t="shared" si="13"/>
        <v>3</v>
      </c>
      <c r="AU89" s="4">
        <f t="shared" si="13"/>
        <v>2</v>
      </c>
      <c r="AV89" s="4">
        <f t="shared" si="13"/>
        <v>0</v>
      </c>
      <c r="AW89" s="4">
        <f t="shared" si="13"/>
        <v>2</v>
      </c>
      <c r="AX89" s="4">
        <f t="shared" si="13"/>
        <v>0</v>
      </c>
      <c r="AY89" s="4">
        <f t="shared" si="13"/>
        <v>0</v>
      </c>
      <c r="AZ89" s="4">
        <f t="shared" si="13"/>
        <v>1</v>
      </c>
      <c r="BA89" s="4">
        <f t="shared" si="13"/>
        <v>3</v>
      </c>
      <c r="BB89" s="4">
        <f t="shared" si="13"/>
        <v>6</v>
      </c>
      <c r="BC89" s="4">
        <f t="shared" si="13"/>
        <v>0</v>
      </c>
      <c r="BD89" s="4">
        <f t="shared" si="13"/>
        <v>0</v>
      </c>
      <c r="BE89" s="4">
        <f t="shared" si="13"/>
        <v>9</v>
      </c>
      <c r="BF89" s="4">
        <f t="shared" si="13"/>
        <v>3</v>
      </c>
      <c r="BG89" s="4">
        <f t="shared" si="13"/>
        <v>5</v>
      </c>
      <c r="BH89" s="4">
        <f t="shared" si="13"/>
        <v>12</v>
      </c>
      <c r="BI89" s="4">
        <f t="shared" si="13"/>
        <v>3</v>
      </c>
      <c r="BJ89" s="4">
        <f t="shared" si="13"/>
        <v>0</v>
      </c>
      <c r="BK89" s="4">
        <f t="shared" si="13"/>
        <v>0</v>
      </c>
      <c r="BL89" s="4">
        <f t="shared" si="13"/>
        <v>11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27</v>
      </c>
      <c r="AO90" s="4">
        <f t="shared" ref="AO90:BL90" si="14">MAX(C47:C50)</f>
        <v>34</v>
      </c>
      <c r="AP90" s="4">
        <f t="shared" si="14"/>
        <v>60</v>
      </c>
      <c r="AQ90" s="4">
        <f t="shared" si="14"/>
        <v>48</v>
      </c>
      <c r="AR90" s="4">
        <f t="shared" si="14"/>
        <v>53</v>
      </c>
      <c r="AS90" s="4">
        <f t="shared" si="14"/>
        <v>39</v>
      </c>
      <c r="AT90" s="4">
        <f t="shared" si="14"/>
        <v>74</v>
      </c>
      <c r="AU90" s="4">
        <f t="shared" si="14"/>
        <v>0</v>
      </c>
      <c r="AV90" s="4">
        <f t="shared" si="14"/>
        <v>0</v>
      </c>
      <c r="AW90" s="4">
        <f t="shared" si="14"/>
        <v>23</v>
      </c>
      <c r="AX90" s="4">
        <f t="shared" si="14"/>
        <v>56</v>
      </c>
      <c r="AY90" s="4">
        <f t="shared" si="14"/>
        <v>0</v>
      </c>
      <c r="AZ90" s="4">
        <f t="shared" si="14"/>
        <v>0</v>
      </c>
      <c r="BA90" s="4">
        <f t="shared" si="14"/>
        <v>40</v>
      </c>
      <c r="BB90" s="4">
        <f t="shared" si="14"/>
        <v>68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47</v>
      </c>
      <c r="BL90" s="4">
        <f t="shared" si="14"/>
        <v>72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MIN(C47:C50)</f>
        <v>25</v>
      </c>
      <c r="AP91" s="4">
        <f t="shared" si="15"/>
        <v>60</v>
      </c>
      <c r="AQ91" s="4">
        <f t="shared" si="15"/>
        <v>47</v>
      </c>
      <c r="AR91" s="4">
        <f t="shared" si="15"/>
        <v>51</v>
      </c>
      <c r="AS91" s="4">
        <f t="shared" si="15"/>
        <v>37</v>
      </c>
      <c r="AT91" s="4">
        <f t="shared" si="15"/>
        <v>61</v>
      </c>
      <c r="AU91" s="4">
        <f t="shared" si="15"/>
        <v>0</v>
      </c>
      <c r="AV91" s="4">
        <f t="shared" si="15"/>
        <v>0</v>
      </c>
      <c r="AW91" s="4">
        <f t="shared" si="15"/>
        <v>21</v>
      </c>
      <c r="AX91" s="4">
        <f t="shared" si="15"/>
        <v>54</v>
      </c>
      <c r="AY91" s="4">
        <f t="shared" si="15"/>
        <v>0</v>
      </c>
      <c r="AZ91" s="4">
        <f t="shared" si="15"/>
        <v>0</v>
      </c>
      <c r="BA91" s="4">
        <f t="shared" si="15"/>
        <v>37</v>
      </c>
      <c r="BB91" s="4">
        <f t="shared" si="15"/>
        <v>64</v>
      </c>
      <c r="BC91" s="4">
        <f t="shared" si="15"/>
        <v>50</v>
      </c>
      <c r="BD91" s="4">
        <f t="shared" si="15"/>
        <v>52</v>
      </c>
      <c r="BE91" s="4">
        <f t="shared" si="15"/>
        <v>35</v>
      </c>
      <c r="BF91" s="4">
        <f t="shared" si="15"/>
        <v>61</v>
      </c>
      <c r="BG91" s="4">
        <f t="shared" si="15"/>
        <v>28</v>
      </c>
      <c r="BH91" s="4">
        <f t="shared" si="15"/>
        <v>53</v>
      </c>
      <c r="BI91" s="4">
        <f t="shared" si="15"/>
        <v>27</v>
      </c>
      <c r="BJ91" s="4">
        <f t="shared" si="15"/>
        <v>56</v>
      </c>
      <c r="BK91" s="4">
        <f t="shared" si="15"/>
        <v>46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9</v>
      </c>
      <c r="AP92" s="4">
        <f t="shared" si="16"/>
        <v>0</v>
      </c>
      <c r="AQ92" s="4">
        <f t="shared" si="16"/>
        <v>1</v>
      </c>
      <c r="AR92" s="4">
        <f t="shared" si="16"/>
        <v>2</v>
      </c>
      <c r="AS92" s="4">
        <f t="shared" si="16"/>
        <v>2</v>
      </c>
      <c r="AT92" s="4">
        <f t="shared" si="16"/>
        <v>13</v>
      </c>
      <c r="AU92" s="4">
        <f t="shared" si="16"/>
        <v>0</v>
      </c>
      <c r="AV92" s="4">
        <f t="shared" si="16"/>
        <v>0</v>
      </c>
      <c r="AW92" s="4">
        <f t="shared" si="16"/>
        <v>2</v>
      </c>
      <c r="AX92" s="4">
        <f t="shared" si="16"/>
        <v>2</v>
      </c>
      <c r="AY92" s="4">
        <f t="shared" si="16"/>
        <v>0</v>
      </c>
      <c r="AZ92" s="4">
        <f t="shared" si="16"/>
        <v>0</v>
      </c>
      <c r="BA92" s="4">
        <f t="shared" si="16"/>
        <v>3</v>
      </c>
      <c r="BB92" s="4">
        <f t="shared" si="16"/>
        <v>4</v>
      </c>
      <c r="BC92" s="4">
        <f t="shared" si="16"/>
        <v>0</v>
      </c>
      <c r="BD92" s="4">
        <f t="shared" si="16"/>
        <v>0</v>
      </c>
      <c r="BE92" s="4">
        <f t="shared" si="16"/>
        <v>1</v>
      </c>
      <c r="BF92" s="4">
        <f t="shared" si="16"/>
        <v>10</v>
      </c>
      <c r="BG92" s="4">
        <f t="shared" si="16"/>
        <v>5</v>
      </c>
      <c r="BH92" s="4">
        <f t="shared" si="16"/>
        <v>4</v>
      </c>
      <c r="BI92" s="4">
        <f t="shared" si="16"/>
        <v>6</v>
      </c>
      <c r="BJ92" s="4">
        <f t="shared" si="16"/>
        <v>8</v>
      </c>
      <c r="BK92" s="4">
        <f t="shared" si="16"/>
        <v>1</v>
      </c>
      <c r="BL92" s="4">
        <f t="shared" si="16"/>
        <v>15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28</v>
      </c>
      <c r="AO93" s="4">
        <f t="shared" ref="AO93:BL93" si="17">MAX(C51)</f>
        <v>34</v>
      </c>
      <c r="AP93" s="4">
        <f t="shared" si="17"/>
        <v>60</v>
      </c>
      <c r="AQ93" s="4">
        <f t="shared" si="17"/>
        <v>47</v>
      </c>
      <c r="AR93" s="4">
        <f t="shared" si="17"/>
        <v>53</v>
      </c>
      <c r="AS93" s="4">
        <f t="shared" si="17"/>
        <v>39</v>
      </c>
      <c r="AT93" s="4">
        <f t="shared" si="17"/>
        <v>61</v>
      </c>
      <c r="AU93" s="4">
        <f t="shared" si="17"/>
        <v>0</v>
      </c>
      <c r="AV93" s="4">
        <f t="shared" si="17"/>
        <v>0</v>
      </c>
      <c r="AW93" s="4">
        <f t="shared" si="17"/>
        <v>22</v>
      </c>
      <c r="AX93" s="4">
        <f t="shared" si="17"/>
        <v>54</v>
      </c>
      <c r="AY93" s="4">
        <f t="shared" si="17"/>
        <v>0</v>
      </c>
      <c r="AZ93" s="4">
        <f t="shared" si="17"/>
        <v>0</v>
      </c>
      <c r="BA93" s="4">
        <f t="shared" si="17"/>
        <v>38</v>
      </c>
      <c r="BB93" s="4">
        <f t="shared" si="17"/>
        <v>64</v>
      </c>
      <c r="BC93" s="4">
        <f t="shared" si="17"/>
        <v>50</v>
      </c>
      <c r="BD93" s="4">
        <f t="shared" si="17"/>
        <v>52</v>
      </c>
      <c r="BE93" s="4">
        <f t="shared" si="17"/>
        <v>36</v>
      </c>
      <c r="BF93" s="4">
        <f t="shared" si="17"/>
        <v>61</v>
      </c>
      <c r="BG93" s="4">
        <f t="shared" si="17"/>
        <v>33</v>
      </c>
      <c r="BH93" s="4">
        <f t="shared" si="17"/>
        <v>57</v>
      </c>
      <c r="BI93" s="4">
        <f t="shared" si="17"/>
        <v>33</v>
      </c>
      <c r="BJ93" s="4">
        <f t="shared" si="17"/>
        <v>64</v>
      </c>
      <c r="BK93" s="4">
        <f t="shared" si="17"/>
        <v>46</v>
      </c>
      <c r="BL93" s="4">
        <f t="shared" si="17"/>
        <v>57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MIN(C51)</f>
        <v>34</v>
      </c>
      <c r="AP94" s="4">
        <f t="shared" si="18"/>
        <v>60</v>
      </c>
      <c r="AQ94" s="4">
        <f t="shared" si="18"/>
        <v>47</v>
      </c>
      <c r="AR94" s="4">
        <f t="shared" si="18"/>
        <v>53</v>
      </c>
      <c r="AS94" s="4">
        <f t="shared" si="18"/>
        <v>39</v>
      </c>
      <c r="AT94" s="4">
        <f t="shared" si="18"/>
        <v>61</v>
      </c>
      <c r="AU94" s="4">
        <f t="shared" si="18"/>
        <v>0</v>
      </c>
      <c r="AV94" s="4">
        <f t="shared" si="18"/>
        <v>0</v>
      </c>
      <c r="AW94" s="4">
        <f t="shared" si="18"/>
        <v>22</v>
      </c>
      <c r="AX94" s="4">
        <f t="shared" si="18"/>
        <v>54</v>
      </c>
      <c r="AY94" s="4">
        <f t="shared" si="18"/>
        <v>0</v>
      </c>
      <c r="AZ94" s="4">
        <f t="shared" si="18"/>
        <v>0</v>
      </c>
      <c r="BA94" s="4">
        <f t="shared" si="18"/>
        <v>38</v>
      </c>
      <c r="BB94" s="4">
        <f t="shared" si="18"/>
        <v>64</v>
      </c>
      <c r="BC94" s="4">
        <f t="shared" si="18"/>
        <v>50</v>
      </c>
      <c r="BD94" s="4">
        <f t="shared" si="18"/>
        <v>52</v>
      </c>
      <c r="BE94" s="4">
        <f t="shared" si="18"/>
        <v>36</v>
      </c>
      <c r="BF94" s="4">
        <f t="shared" si="18"/>
        <v>61</v>
      </c>
      <c r="BG94" s="4">
        <f t="shared" si="18"/>
        <v>33</v>
      </c>
      <c r="BH94" s="4">
        <f t="shared" si="18"/>
        <v>57</v>
      </c>
      <c r="BI94" s="4">
        <f t="shared" si="18"/>
        <v>33</v>
      </c>
      <c r="BJ94" s="4">
        <f t="shared" si="18"/>
        <v>64</v>
      </c>
      <c r="BK94" s="4">
        <f t="shared" si="18"/>
        <v>46</v>
      </c>
      <c r="BL94" s="4">
        <f t="shared" si="18"/>
        <v>57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0</v>
      </c>
      <c r="AU95" s="4">
        <f t="shared" si="19"/>
        <v>0</v>
      </c>
      <c r="AV95" s="4">
        <f t="shared" si="19"/>
        <v>0</v>
      </c>
      <c r="AW95" s="4">
        <f t="shared" si="19"/>
        <v>0</v>
      </c>
      <c r="AX95" s="4">
        <f t="shared" si="19"/>
        <v>0</v>
      </c>
      <c r="AY95" s="4">
        <f t="shared" si="19"/>
        <v>0</v>
      </c>
      <c r="AZ95" s="4">
        <f t="shared" si="19"/>
        <v>0</v>
      </c>
      <c r="BA95" s="4">
        <f t="shared" si="19"/>
        <v>0</v>
      </c>
      <c r="BB95" s="4">
        <f t="shared" si="19"/>
        <v>0</v>
      </c>
      <c r="BC95" s="4">
        <f t="shared" si="19"/>
        <v>0</v>
      </c>
      <c r="BD95" s="4">
        <f t="shared" si="19"/>
        <v>0</v>
      </c>
      <c r="BE95" s="4">
        <f t="shared" si="19"/>
        <v>0</v>
      </c>
      <c r="BF95" s="4">
        <f t="shared" si="19"/>
        <v>0</v>
      </c>
      <c r="BG95" s="4">
        <f t="shared" si="19"/>
        <v>0</v>
      </c>
      <c r="BH95" s="4">
        <f t="shared" si="19"/>
        <v>0</v>
      </c>
      <c r="BI95" s="4">
        <f t="shared" si="19"/>
        <v>0</v>
      </c>
      <c r="BJ95" s="4">
        <f t="shared" si="19"/>
        <v>0</v>
      </c>
      <c r="BK95" s="4">
        <f t="shared" si="19"/>
        <v>0</v>
      </c>
      <c r="BL95" s="4">
        <f t="shared" si="19"/>
        <v>0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AO86+AO89+AO92+AO95</f>
        <v>31</v>
      </c>
      <c r="AP96" s="4">
        <f t="shared" si="20"/>
        <v>4</v>
      </c>
      <c r="AQ96" s="4">
        <f t="shared" si="20"/>
        <v>1</v>
      </c>
      <c r="AR96" s="4">
        <f t="shared" si="20"/>
        <v>3</v>
      </c>
      <c r="AS96" s="4">
        <f t="shared" si="20"/>
        <v>6</v>
      </c>
      <c r="AT96" s="4">
        <f t="shared" si="20"/>
        <v>22</v>
      </c>
      <c r="AU96" s="4">
        <f t="shared" si="20"/>
        <v>5</v>
      </c>
      <c r="AV96" s="4">
        <f t="shared" si="20"/>
        <v>1</v>
      </c>
      <c r="AW96" s="4">
        <f t="shared" si="20"/>
        <v>7</v>
      </c>
      <c r="AX96" s="4">
        <f t="shared" si="20"/>
        <v>3</v>
      </c>
      <c r="AY96" s="4">
        <f t="shared" si="20"/>
        <v>0</v>
      </c>
      <c r="AZ96" s="4">
        <f t="shared" si="20"/>
        <v>6</v>
      </c>
      <c r="BA96" s="4">
        <f t="shared" si="20"/>
        <v>9</v>
      </c>
      <c r="BB96" s="4">
        <f t="shared" si="20"/>
        <v>17</v>
      </c>
      <c r="BC96" s="4">
        <f t="shared" si="20"/>
        <v>0</v>
      </c>
      <c r="BD96" s="4">
        <f t="shared" si="20"/>
        <v>0</v>
      </c>
      <c r="BE96" s="4">
        <f t="shared" si="20"/>
        <v>18</v>
      </c>
      <c r="BF96" s="4">
        <f t="shared" si="20"/>
        <v>23</v>
      </c>
      <c r="BG96" s="4">
        <f t="shared" si="20"/>
        <v>22</v>
      </c>
      <c r="BH96" s="4">
        <f t="shared" si="20"/>
        <v>21</v>
      </c>
      <c r="BI96" s="4">
        <f t="shared" si="20"/>
        <v>17</v>
      </c>
      <c r="BJ96" s="4">
        <f t="shared" si="20"/>
        <v>9</v>
      </c>
      <c r="BK96" s="4">
        <f t="shared" si="20"/>
        <v>1</v>
      </c>
      <c r="BL96" s="4">
        <f t="shared" si="20"/>
        <v>38</v>
      </c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</sheetData>
  <sortState xmlns:xlrd2="http://schemas.microsoft.com/office/spreadsheetml/2017/richdata2"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A9" sqref="A9:XFD9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8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1165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8">
        <f>VLOOKUP($D8,'SegEnds_NonXtal_Prot#'!$A:$AZ,31,FALSE)-VLOOKUP($D8,'SegEnds_NonXtal_Prot#'!$A:$AZ,28,FALSE)</f>
        <v>43</v>
      </c>
      <c r="G8" s="139">
        <f>50+VLOOKUP($A8,'SegEnds_Xtal_Prot#'!$A:$AY,39,FALSE)-VLOOKUP($D8,'SegEnds_NonXtal_Prot#'!$A:$AZ,28,FALSE)</f>
        <v>68</v>
      </c>
      <c r="H8" s="140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917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1285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1166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1296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909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911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1285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1167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913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1285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1323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1292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1293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1285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907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1289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1285</v>
      </c>
      <c r="L31" s="1"/>
      <c r="N31" t="s">
        <v>1295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1285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903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915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1325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1169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1288</v>
      </c>
      <c r="N41" s="1" t="s">
        <v>1294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1168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1288</v>
      </c>
      <c r="N42" s="1" t="s">
        <v>1294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905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1285</v>
      </c>
      <c r="L43" s="1"/>
      <c r="M43" s="1"/>
      <c r="N43" s="1"/>
    </row>
  </sheetData>
  <sortState xmlns:xlrd2="http://schemas.microsoft.com/office/spreadsheetml/2017/richdata2"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5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1402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1414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1070</v>
      </c>
      <c r="B1" s="8" t="s">
        <v>0</v>
      </c>
      <c r="C1" s="8" t="s">
        <v>1199</v>
      </c>
      <c r="D1" s="8" t="s">
        <v>31</v>
      </c>
      <c r="E1" s="8" t="s">
        <v>1287</v>
      </c>
      <c r="F1" s="8" t="s">
        <v>1236</v>
      </c>
      <c r="G1" s="8" t="s">
        <v>1063</v>
      </c>
      <c r="H1" s="8" t="s">
        <v>1064</v>
      </c>
      <c r="I1" s="8"/>
      <c r="J1" s="8"/>
      <c r="K1" s="8" t="s">
        <v>1285</v>
      </c>
      <c r="L1" s="8" t="s">
        <v>1324</v>
      </c>
      <c r="M1" s="8" t="s">
        <v>1290</v>
      </c>
      <c r="N1" s="8" t="s">
        <v>1291</v>
      </c>
    </row>
    <row r="2" spans="1:14" s="24" customFormat="1" x14ac:dyDescent="0.2">
      <c r="A2" s="15" t="s">
        <v>1297</v>
      </c>
      <c r="B2" s="8" t="s">
        <v>23</v>
      </c>
      <c r="C2" s="8" t="s">
        <v>23</v>
      </c>
      <c r="D2" s="15" t="s">
        <v>1298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1382</v>
      </c>
      <c r="B3" s="8" t="s">
        <v>23</v>
      </c>
      <c r="C3" s="8" t="s">
        <v>23</v>
      </c>
      <c r="D3" s="15" t="s">
        <v>1298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1382</v>
      </c>
      <c r="B4" s="8" t="s">
        <v>23</v>
      </c>
      <c r="C4" s="8" t="s">
        <v>23</v>
      </c>
      <c r="D4" s="15" t="s">
        <v>1298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1382</v>
      </c>
      <c r="B5" s="8" t="s">
        <v>23</v>
      </c>
      <c r="C5" s="8" t="s">
        <v>23</v>
      </c>
      <c r="D5" s="15" t="s">
        <v>1298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1588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AL416"/>
  <sheetViews>
    <sheetView tabSelected="1" zoomScale="135" zoomScaleNormal="135" zoomScalePageLayoutView="135" workbookViewId="0">
      <pane ySplit="1" topLeftCell="A266" activePane="bottomLeft" state="frozenSplit"/>
      <selection pane="bottomLeft" activeCell="A291" sqref="A29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1200</v>
      </c>
      <c r="C1" s="26" t="s">
        <v>1054</v>
      </c>
      <c r="D1" s="8" t="s">
        <v>1055</v>
      </c>
      <c r="E1" s="8" t="s">
        <v>1071</v>
      </c>
      <c r="F1" s="8" t="s">
        <v>1072</v>
      </c>
      <c r="G1" s="8" t="s">
        <v>1056</v>
      </c>
      <c r="H1" s="99" t="s">
        <v>1057</v>
      </c>
      <c r="I1" s="8" t="s">
        <v>1073</v>
      </c>
      <c r="J1" s="8" t="s">
        <v>1074</v>
      </c>
      <c r="K1" s="99" t="s">
        <v>1058</v>
      </c>
      <c r="L1" s="8" t="s">
        <v>1059</v>
      </c>
      <c r="M1" s="8" t="s">
        <v>1086</v>
      </c>
      <c r="N1" s="99" t="s">
        <v>1087</v>
      </c>
      <c r="O1" s="86" t="s">
        <v>1060</v>
      </c>
      <c r="P1" s="8" t="s">
        <v>1061</v>
      </c>
      <c r="Q1" s="8" t="s">
        <v>1089</v>
      </c>
      <c r="R1" s="8" t="s">
        <v>1090</v>
      </c>
      <c r="S1" s="8" t="s">
        <v>1062</v>
      </c>
      <c r="T1" s="8" t="s">
        <v>1063</v>
      </c>
      <c r="U1" s="8" t="s">
        <v>1064</v>
      </c>
      <c r="V1" s="8" t="s">
        <v>1065</v>
      </c>
      <c r="W1" s="8" t="s">
        <v>1066</v>
      </c>
      <c r="X1" s="8" t="s">
        <v>1067</v>
      </c>
      <c r="Y1" s="8" t="s">
        <v>1068</v>
      </c>
      <c r="Z1" s="8" t="s">
        <v>1069</v>
      </c>
      <c r="AA1" s="26" t="s">
        <v>99</v>
      </c>
      <c r="AB1" s="30" t="s">
        <v>1234</v>
      </c>
      <c r="AC1" s="30" t="s">
        <v>1280</v>
      </c>
      <c r="AD1" s="30" t="s">
        <v>1276</v>
      </c>
      <c r="AE1" s="30" t="s">
        <v>1235</v>
      </c>
      <c r="AF1" s="30" t="s">
        <v>1269</v>
      </c>
      <c r="AG1" s="26" t="s">
        <v>1273</v>
      </c>
      <c r="AH1" s="30" t="s">
        <v>1385</v>
      </c>
      <c r="AI1" s="30" t="s">
        <v>1236</v>
      </c>
      <c r="AJ1" s="30" t="s">
        <v>1233</v>
      </c>
      <c r="AK1" s="30" t="s">
        <v>1474</v>
      </c>
      <c r="AL1" s="30" t="s">
        <v>1220</v>
      </c>
    </row>
    <row r="2" spans="1:38" x14ac:dyDescent="0.2">
      <c r="A2" s="1" t="s">
        <v>242</v>
      </c>
      <c r="B2" s="1" t="str">
        <f>VLOOKUP(A2,Xtal_Templ!A:B,2,FALSE)</f>
        <v>par2_human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v>66</v>
      </c>
      <c r="I2" s="1">
        <f>VLOOKUP($B2&amp;"__wt",'SegEnds_Xtal_BW#'!$A:$Z,9,FALSE)</f>
        <v>47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62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38</v>
      </c>
      <c r="T2" s="1">
        <f t="array" ref="T2">INDEX(ICL3_classA!$G$2:$G$39,MATCH(MIN(ABS(AI2-ICL3_classA!$F$2:$F$39)),ABS(AI2-ICL3_classA!$F$2:$F$39),0))</f>
        <v>68</v>
      </c>
      <c r="U2" s="1">
        <f t="array" ref="U2">INDEX(ICL3_classA!$H$2:$H$39,MATCH(MIN(ABS(AI2-ICL3_classA!$F$2:$F$39)),ABS(AI2-ICL3_classA!$F$2:$F$39),0))</f>
        <v>24</v>
      </c>
      <c r="V2" s="1">
        <v>61</v>
      </c>
      <c r="W2" s="131">
        <f>VLOOKUP($B2&amp;"__wt",'SegEnds_Xtal_BW#'!$A:$Z,23,FALSE)</f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49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33</v>
      </c>
      <c r="AI2" s="1">
        <f>VLOOKUP(A2,'SegEnds_NonXtal_Prot#'!A:AL,31,FALSE)-VLOOKUP(A2,'SegEnds_NonXtal_Prot#'!A:AL,28,FALSE)</f>
        <v>48</v>
      </c>
      <c r="AJ2" s="1">
        <f>VLOOKUP(A2,'SegEnds_NonXtal_Prot#'!A:AL,34,FALSE)-VLOOKUP(A2,'SegEnds_NonXtal_Prot#'!A:AL,31,FALSE)</f>
        <v>38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219</v>
      </c>
      <c r="B3" s="1" t="str">
        <f>VLOOKUP(A3,Xtal_Templ!A:B,2,FALSE)</f>
        <v>5ht1b_human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15">
        <v>35</v>
      </c>
      <c r="T3" s="1">
        <f t="array" ref="T3">INDEX(ICL3_classA!$G$2:$G$39,MATCH(MIN(ABS(AI3-ICL3_classA!$F$2:$F$39)),ABS(AI3-ICL3_classA!$F$2:$F$39),0))</f>
        <v>76</v>
      </c>
      <c r="U3" s="1">
        <f t="array" ref="U3">INDEX(ICL3_classA!$H$2:$H$39,MATCH(MIN(ABS(AI3-ICL3_classA!$F$2:$F$39)),ABS(AI3-ICL3_classA!$F$2:$F$39),0))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29</v>
      </c>
      <c r="AC3" s="1">
        <f>VLOOKUP(A3,'SegEnds_NonXtal_Prot#'!A:AL,10,FALSE)-VLOOKUP(A3,'SegEnds_NonXtal_Prot#'!A:AL,7,FALSE)</f>
        <v>16</v>
      </c>
      <c r="AD3" s="1">
        <f>VLOOKUP(A3,'SegEnds_NonXtal_Prot#'!A:AL,13,FALSE)-VLOOKUP(A3,'SegEnds_NonXtal_Prot#'!A:AL,10,FALSE)</f>
        <v>18</v>
      </c>
      <c r="AE3" s="1">
        <f>VLOOKUP(A3,'SegEnds_NonXtal_Prot#'!A:AL,16,FALSE)-VLOOKUP(A3,'SegEnds_NonXtal_Prot#'!A:AL,10,FALSE)</f>
        <v>50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38</v>
      </c>
      <c r="AI3" s="1">
        <f>VLOOKUP(A3,'SegEnds_NonXtal_Prot#'!A:AL,31,FALSE)-VLOOKUP(A3,'SegEnds_NonXtal_Prot#'!A:AL,28,FALSE)</f>
        <v>68</v>
      </c>
      <c r="AJ3" s="1">
        <f>VLOOKUP(A3,'SegEnds_NonXtal_Prot#'!A:AL,34,FALSE)-VLOOKUP(A3,'SegEnds_NonXtal_Prot#'!A:AL,31,FALSE)</f>
        <v>30</v>
      </c>
      <c r="AK3" s="1">
        <f>VLOOKUP(A3,'SegEnds_NonXtal_Prot#'!A:AL,37,FALSE)-VLOOKUP(A3,'SegEnds_NonXtal_Prot#'!A:AL,34,FALSE)</f>
        <v>11</v>
      </c>
      <c r="AL3" s="1" t="str">
        <f>IF(ISERROR(MATCH(A3,'SegEnds_Xtal_Prot#'!B:B, 0)), "NoXtal", "Xtal")</f>
        <v>NoXtal</v>
      </c>
    </row>
    <row r="4" spans="1:38" x14ac:dyDescent="0.2">
      <c r="A4" s="1" t="s">
        <v>294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INDEX(ICL3_classA!$G$2:$G$39,MATCH(MIN(ABS(AI4-ICL3_classA!$F$2:$F$39)),ABS(AI4-ICL3_classA!$F$2:$F$39),0))</f>
        <v>68</v>
      </c>
      <c r="U4" s="1">
        <f t="array" ref="U4">INDEX(ICL3_classA!$H$2:$H$39,MATCH(MIN(ABS(AI4-ICL3_classA!$F$2:$F$39)),ABS(AI4-ICL3_classA!$F$2:$F$39),0))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151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f>VLOOKUP($B5&amp;"__wt",'SegEnds_Xtal_BW#'!$A:$Z,15,FALSE)</f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08">
        <v>33</v>
      </c>
      <c r="T5" s="1">
        <f t="array" ref="T5">INDEX(ICL3_classA!$G$2:$G$39,MATCH(MIN(ABS(AI5-ICL3_classA!$F$2:$F$39)),ABS(AI5-ICL3_classA!$F$2:$F$39),0))</f>
        <v>66</v>
      </c>
      <c r="U5" s="1">
        <f t="array" ref="U5">INDEX(ICL3_classA!$H$2:$H$39,MATCH(MIN(ABS(AI5-ICL3_classA!$F$2:$F$39)),ABS(AI5-ICL3_classA!$F$2:$F$39),0))</f>
        <v>30</v>
      </c>
      <c r="V5" s="1">
        <v>61</v>
      </c>
      <c r="W5" s="131">
        <f>VLOOKUP($B5&amp;"__wt",'SegEnds_Xtal_BW#'!$A:$Z,23,FALSE)</f>
        <v>30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58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40</v>
      </c>
      <c r="AI5" s="1">
        <f>VLOOKUP(A5,'SegEnds_NonXtal_Prot#'!A:AL,31,FALSE)-VLOOKUP(A5,'SegEnds_NonXtal_Prot#'!A:AL,28,FALSE)</f>
        <v>39</v>
      </c>
      <c r="AJ5" s="1">
        <f>VLOOKUP(A5,'SegEnds_NonXtal_Prot#'!A:AL,34,FALSE)-VLOOKUP(A5,'SegEnds_NonXtal_Prot#'!A:AL,31,FALSE)</f>
        <v>39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295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08">
        <v>33</v>
      </c>
      <c r="T6" s="1">
        <f t="array" ref="T6">INDEX(ICL3_classA!$G$2:$G$39,MATCH(MIN(ABS(AI6-ICL3_classA!$F$2:$F$39)),ABS(AI6-ICL3_classA!$F$2:$F$39),0))</f>
        <v>68</v>
      </c>
      <c r="U6" s="108">
        <v>27</v>
      </c>
      <c r="V6" s="1">
        <v>61</v>
      </c>
      <c r="W6" s="131">
        <f>VLOOKUP($B6&amp;"__wt",'SegEnds_Xtal_BW#'!$A:$Z,23,FALSE)</f>
        <v>30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40</v>
      </c>
      <c r="AI6" s="1">
        <f>VLOOKUP(A6,'SegEnds_NonXtal_Prot#'!A:AL,31,FALSE)-VLOOKUP(A6,'SegEnds_NonXtal_Prot#'!A:AL,28,FALSE)</f>
        <v>48</v>
      </c>
      <c r="AJ6" s="1">
        <f>VLOOKUP(A6,'SegEnds_NonXtal_Prot#'!A:AL,34,FALSE)-VLOOKUP(A6,'SegEnds_NonXtal_Prot#'!A:AL,31,FALSE)</f>
        <v>39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296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08">
        <v>33</v>
      </c>
      <c r="T7" s="1">
        <f t="array" ref="T7">INDEX(ICL3_classA!$G$2:$G$39,MATCH(MIN(ABS(AI7-ICL3_classA!$F$2:$F$39)),ABS(AI7-ICL3_classA!$F$2:$F$39),0))</f>
        <v>67</v>
      </c>
      <c r="U7" s="108">
        <v>27</v>
      </c>
      <c r="V7" s="1">
        <v>61</v>
      </c>
      <c r="W7" s="131">
        <f>VLOOKUP($B7&amp;"__wt",'SegEnds_Xtal_BW#'!$A:$Z,23,FALSE)</f>
        <v>30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40</v>
      </c>
      <c r="AI7" s="1">
        <f>VLOOKUP(A7,'SegEnds_NonXtal_Prot#'!A:AL,31,FALSE)-VLOOKUP(A7,'SegEnds_NonXtal_Prot#'!A:AL,28,FALSE)</f>
        <v>46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297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63</v>
      </c>
      <c r="I8" s="1">
        <v>49</v>
      </c>
      <c r="J8" s="1">
        <f>VLOOKUP($B8&amp;"__wt",'SegEnds_Xtal_BW#'!$A:$Z,10,FALSE)</f>
        <v>53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08">
        <v>33</v>
      </c>
      <c r="T8" s="1">
        <f t="array" ref="T8">INDEX(ICL3_classA!$G$2:$G$39,MATCH(MIN(ABS(AI8-ICL3_classA!$F$2:$F$39)),ABS(AI8-ICL3_classA!$F$2:$F$39),0))</f>
        <v>67</v>
      </c>
      <c r="U8" s="108">
        <v>27</v>
      </c>
      <c r="V8" s="1">
        <v>61</v>
      </c>
      <c r="W8" s="131">
        <f>VLOOKUP($B8&amp;"__wt",'SegEnds_Xtal_BW#'!$A:$Z,23,FALSE)</f>
        <v>30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40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308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08">
        <v>33</v>
      </c>
      <c r="T9" s="1">
        <f t="array" ref="T9">INDEX(ICL3_classA!$G$2:$G$39,MATCH(MIN(ABS(AI9-ICL3_classA!$F$2:$F$39)),ABS(AI9-ICL3_classA!$F$2:$F$39),0))</f>
        <v>67</v>
      </c>
      <c r="U9" s="108">
        <v>27</v>
      </c>
      <c r="V9" s="1">
        <v>61</v>
      </c>
      <c r="W9" s="131">
        <f>VLOOKUP($B9&amp;"__wt",'SegEnds_Xtal_BW#'!$A:$Z,23,FALSE)</f>
        <v>30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40</v>
      </c>
      <c r="AI9" s="1">
        <f>VLOOKUP(A9,'SegEnds_NonXtal_Prot#'!A:AL,31,FALSE)-VLOOKUP(A9,'SegEnds_NonXtal_Prot#'!A:AL,28,FALSE)</f>
        <v>47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191</v>
      </c>
      <c r="B10" s="1" t="str">
        <f>VLOOKUP(A10,Xtal_Templ!A:B,2,FALSE)</f>
        <v>drd2_human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f>VLOOKUP($B10&amp;"__wt",'SegEnds_Xtal_BW#'!$A:$Z,14,FALSE)</f>
        <v>58</v>
      </c>
      <c r="O10" s="87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INDEX(ICL3_classA!$G$2:$G$39,MATCH(MIN(ABS(AI10-ICL3_classA!$F$2:$F$39)),ABS(AI10-ICL3_classA!$F$2:$F$39),0))</f>
        <v>75</v>
      </c>
      <c r="U10" s="1">
        <f t="array" ref="U10">INDEX(ICL3_classA!$H$2:$H$39,MATCH(MIN(ABS(AI10-ICL3_classA!$F$2:$F$39)),ABS(AI10-ICL3_classA!$F$2:$F$39),0))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21</v>
      </c>
      <c r="AG10" s="1">
        <f>VLOOKUP(A10,'SegEnds_NonXtal_Prot#'!A:AL,28,FALSE)-VLOOKUP(A10,'SegEnds_NonXtal_Prot#'!A:AL,25,FALSE)</f>
        <v>19</v>
      </c>
      <c r="AH10" s="1">
        <f>VLOOKUP(A10,'SegEnds_NonXtal_Prot#'!A:AL,28,FALSE)-VLOOKUP(A10,'SegEnds_NonXtal_Prot#'!A:AL,22,FALSE)</f>
        <v>41</v>
      </c>
      <c r="AI10" s="1">
        <f>VLOOKUP(A10,'SegEnds_NonXtal_Prot#'!A:AL,31,FALSE)-VLOOKUP(A10,'SegEnds_NonXtal_Prot#'!A:AL,28,FALSE)</f>
        <v>187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Xtal</v>
      </c>
    </row>
    <row r="11" spans="1:38" x14ac:dyDescent="0.2">
      <c r="A11" s="1" t="s">
        <v>247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INDEX(ICL3_classA!$G$2:$G$39,MATCH(MIN(ABS(AI11-ICL3_classA!$F$2:$F$39)),ABS(AI11-ICL3_classA!$F$2:$F$39),0))</f>
        <v>76</v>
      </c>
      <c r="U11" s="1">
        <f t="array" ref="U11">INDEX(ICL3_classA!$H$2:$H$39,MATCH(MIN(ABS(AI11-ICL3_classA!$F$2:$F$39)),ABS(AI11-ICL3_classA!$F$2:$F$39),0))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63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56</v>
      </c>
      <c r="AF11" s="1">
        <f>VLOOKUP(A11,'SegEnds_NonXtal_Prot#'!A:AL,22,FALSE)-VLOOKUP(A11,'SegEnds_NonXtal_Prot#'!A:AL,19,FALSE)</f>
        <v>21</v>
      </c>
      <c r="AG11" s="1">
        <f>VLOOKUP(A11,'SegEnds_NonXtal_Prot#'!A:AL,28,FALSE)-VLOOKUP(A11,'SegEnds_NonXtal_Prot#'!A:AL,25,FALSE)</f>
        <v>18</v>
      </c>
      <c r="AH11" s="1">
        <f>VLOOKUP(A11,'SegEnds_NonXtal_Prot#'!A:AL,28,FALSE)-VLOOKUP(A11,'SegEnds_NonXtal_Prot#'!A:AL,22,FALSE)</f>
        <v>41</v>
      </c>
      <c r="AI11" s="1">
        <f>VLOOKUP(A11,'SegEnds_NonXtal_Prot#'!A:AL,31,FALSE)-VLOOKUP(A11,'SegEnds_NonXtal_Prot#'!A:AL,28,FALSE)</f>
        <v>110</v>
      </c>
      <c r="AJ11" s="1">
        <f>VLOOKUP(A11,'SegEnds_NonXtal_Prot#'!A:AL,34,FALSE)-VLOOKUP(A11,'SegEnds_NonXtal_Prot#'!A:AL,31,FALSE)</f>
        <v>36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192</v>
      </c>
      <c r="B12" s="1" t="str">
        <f>VLOOKUP(A12,Xtal_Templ!A:B,2,FALSE)</f>
        <v>drd3_human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58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INDEX(ICL3_classA!$G$2:$G$39,MATCH(MIN(ABS(AI12-ICL3_classA!$F$2:$F$39)),ABS(AI12-ICL3_classA!$F$2:$F$39),0))</f>
        <v>76</v>
      </c>
      <c r="U12" s="1">
        <f t="array" ref="U12">INDEX(ICL3_classA!$H$2:$H$39,MATCH(MIN(ABS(AI12-ICL3_classA!$F$2:$F$39)),ABS(AI12-ICL3_classA!$F$2:$F$39),0))</f>
        <v>24</v>
      </c>
      <c r="V12" s="1">
        <f>VLOOKUP($B12&amp;"__wt",'SegEnds_Xtal_BW#'!$A:$Z,22,FALSE)</f>
        <v>60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21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23</v>
      </c>
      <c r="AG12" s="1">
        <f>VLOOKUP(A12,'SegEnds_NonXtal_Prot#'!A:AL,28,FALSE)-VLOOKUP(A12,'SegEnds_NonXtal_Prot#'!A:AL,25,FALSE)</f>
        <v>19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144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Xtal</v>
      </c>
    </row>
    <row r="13" spans="1:38" x14ac:dyDescent="0.2">
      <c r="A13" s="1" t="s">
        <v>253</v>
      </c>
      <c r="B13" s="1" t="str">
        <f>VLOOKUP(A13,Xtal_Templ!A:B,2,FALSE)</f>
        <v>fpr2_human</v>
      </c>
      <c r="C13" s="5">
        <f>VLOOKUP($B13&amp;"__wt",'SegEnds_Xtal_BW#'!$A:$Z,3,FALSE)</f>
        <v>25</v>
      </c>
      <c r="D13" s="108"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INDEX(ICL3_classA!$G$2:$G$39,MATCH(MIN(ABS(AI13-ICL3_classA!$F$2:$F$39)),ABS(AI13-ICL3_classA!$F$2:$F$39),0))</f>
        <v>68</v>
      </c>
      <c r="U13" s="1">
        <f t="array" ref="U13">INDEX(ICL3_classA!$H$2:$H$39,MATCH(MIN(ABS(AI13-ICL3_classA!$F$2:$F$39)),ABS(AI13-ICL3_classA!$F$2:$F$39),0))</f>
        <v>24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49</v>
      </c>
      <c r="AJ13" s="1">
        <f>VLOOKUP(A13,'SegEnds_NonXtal_Prot#'!A:AL,34,FALSE)-VLOOKUP(A13,'SegEnds_NonXtal_Prot#'!A:AL,31,FALSE)</f>
        <v>41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300</v>
      </c>
      <c r="B14" s="1" t="str">
        <f>VLOOKUP(A14,Xtal_Templ!A:B,2,FALSE)</f>
        <v>c5ar1_human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31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28</v>
      </c>
      <c r="V14" s="1">
        <v>61</v>
      </c>
      <c r="W14" s="1">
        <v>31</v>
      </c>
      <c r="X14" s="108">
        <v>56</v>
      </c>
      <c r="Y14" s="1">
        <f>VLOOKUP($B14&amp;"__wt",'SegEnds_Xtal_BW#'!$A:$Z,25,FALSE)</f>
        <v>47</v>
      </c>
      <c r="Z14" s="1">
        <f>VLOOKUP($B14&amp;"__wt",'SegEnds_Xtal_BW#'!$A:$Z,26,FALSE)</f>
        <v>56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51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42</v>
      </c>
      <c r="AI14" s="1">
        <f>VLOOKUP(A14,'SegEnds_NonXtal_Prot#'!A:AL,31,FALSE)-VLOOKUP(A14,'SegEnds_NonXtal_Prot#'!A:AL,28,FALSE)</f>
        <v>44</v>
      </c>
      <c r="AJ14" s="1">
        <f>VLOOKUP(A14,'SegEnds_NonXtal_Prot#'!A:AL,34,FALSE)-VLOOKUP(A14,'SegEnds_NonXtal_Prot#'!A:AL,31,FALSE)</f>
        <v>37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301</v>
      </c>
      <c r="B15" s="1" t="str">
        <f>VLOOKUP(A15,Xtal_Templ!A:B,2,FALSE)</f>
        <v>cxcr4_human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30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 t="e">
        <f>VLOOKUP(A15,'SegEnds_NonXtal_Prot#'!A:AL,28,FALSE)-VLOOKUP(A15,'SegEnds_NonXtal_Prot#'!A:AL,25,FALSE)</f>
        <v>#VALUE!</v>
      </c>
      <c r="AH15" s="1">
        <f>VLOOKUP(A15,'SegEnds_NonXtal_Prot#'!A:AL,28,FALSE)-VLOOKUP(A15,'SegEnds_NonXtal_Prot#'!A:AL,22,FALSE)</f>
        <v>42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303</v>
      </c>
      <c r="B16" s="1" t="str">
        <f>VLOOKUP(A16,Xtal_Templ!A:B,2,FALSE)</f>
        <v>agtr1_human</v>
      </c>
      <c r="C16" s="5">
        <f>VLOOKUP($B16&amp;"__wt",'SegEnds_Xtal_BW#'!$A:$Z,3,FALSE)</f>
        <v>28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67</v>
      </c>
      <c r="U16" s="1">
        <f t="array" ref="U16">INDEX(ICL3_classA!$H$2:$H$39,MATCH(MIN(ABS(AI16-ICL3_classA!$F$2:$F$39)),ABS(AI16-ICL3_classA!$F$2:$F$39),0))</f>
        <v>30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 t="e">
        <f>VLOOKUP(A16,'SegEnds_NonXtal_Prot#'!A:AL,13,FALSE)-VLOOKUP(A16,'SegEnds_NonXtal_Prot#'!A:AL,10,FALSE)</f>
        <v>#VALUE!</v>
      </c>
      <c r="AE16" s="1">
        <f>VLOOKUP(A16,'SegEnds_NonXtal_Prot#'!A:AL,16,FALSE)-VLOOKUP(A16,'SegEnds_NonXtal_Prot#'!A:AL,10,FALSE)</f>
        <v>46</v>
      </c>
      <c r="AF16" s="1">
        <f>VLOOKUP(A16,'SegEnds_NonXtal_Prot#'!A:AL,22,FALSE)-VLOOKUP(A16,'SegEnds_NonXtal_Prot#'!A:AL,19,FALSE)</f>
        <v>20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42</v>
      </c>
      <c r="AI16" s="1">
        <f>VLOOKUP(A16,'SegEnds_NonXtal_Prot#'!A:AL,31,FALSE)-VLOOKUP(A16,'SegEnds_NonXtal_Prot#'!A:AL,28,FALSE)</f>
        <v>41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304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68</v>
      </c>
      <c r="U17" s="1">
        <f t="array" ref="U17">INDEX(ICL3_classA!$H$2:$H$39,MATCH(MIN(ABS(AI17-ICL3_classA!$F$2:$F$39)),ABS(AI17-ICL3_classA!$F$2:$F$39),0))</f>
        <v>30</v>
      </c>
      <c r="V17" s="1">
        <v>61</v>
      </c>
      <c r="W17" s="108">
        <v>25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 t="e">
        <f>VLOOKUP(A17,'SegEnds_NonXtal_Prot#'!A:AL,13,FALSE)-VLOOKUP(A17,'SegEnds_NonXtal_Prot#'!A:AL,10,FALSE)</f>
        <v>#VALUE!</v>
      </c>
      <c r="AE17" s="1">
        <f>VLOOKUP(A17,'SegEnds_NonXtal_Prot#'!A:AL,16,FALSE)-VLOOKUP(A17,'SegEnds_NonXtal_Prot#'!A:AL,10,FALSE)</f>
        <v>48</v>
      </c>
      <c r="AF17" s="1">
        <f>VLOOKUP(A17,'SegEnds_NonXtal_Prot#'!A:AL,22,FALSE)-VLOOKUP(A17,'SegEnds_NonXtal_Prot#'!A:AL,19,FALSE)</f>
        <v>20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42</v>
      </c>
      <c r="AI17" s="1">
        <f>VLOOKUP(A17,'SegEnds_NonXtal_Prot#'!A:AL,31,FALSE)-VLOOKUP(A17,'SegEnds_NonXtal_Prot#'!A:AL,28,FALSE)</f>
        <v>42</v>
      </c>
      <c r="AJ17" s="1">
        <f>VLOOKUP(A17,'SegEnds_NonXtal_Prot#'!A:AL,34,FALSE)-VLOOKUP(A17,'SegEnds_NonXtal_Prot#'!A:AL,31,FALSE)</f>
        <v>38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305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INDEX(ICL3_classA!$G$2:$G$39,MATCH(MIN(ABS(AI18-ICL3_classA!$F$2:$F$39)),ABS(AI18-ICL3_classA!$F$2:$F$39),0))</f>
        <v>68</v>
      </c>
      <c r="U18" s="1">
        <f t="array" ref="U18">INDEX(ICL3_classA!$H$2:$H$39,MATCH(MIN(ABS(AI18-ICL3_classA!$F$2:$F$39)),ABS(AI18-ICL3_classA!$F$2:$F$39),0))</f>
        <v>30</v>
      </c>
      <c r="V18" s="1">
        <v>61</v>
      </c>
      <c r="W18" s="131">
        <f>VLOOKUP($B18&amp;"__wt",'SegEnds_Xtal_BW#'!$A:$Z,23,FALSE)</f>
        <v>25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42</v>
      </c>
      <c r="AI18" s="1">
        <f>VLOOKUP(A18,'SegEnds_NonXtal_Prot#'!A:AL,31,FALSE)-VLOOKUP(A18,'SegEnds_NonXtal_Prot#'!A:AL,28,FALSE)</f>
        <v>42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306</v>
      </c>
      <c r="B19" s="1" t="str">
        <f>VLOOKUP(A19,Xtal_Templ!A:B,2,FALSE)</f>
        <v>pd2r2_human</v>
      </c>
      <c r="C19" s="5">
        <f>VLOOKUP($B19&amp;"__wt",'SegEnds_Xtal_BW#'!$A:$Z,3,FALSE)</f>
        <v>32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26</v>
      </c>
      <c r="T19" s="1">
        <f t="array" ref="T19">INDEX(ICL3_classA!$G$2:$G$39,MATCH(MIN(ABS(AI19-ICL3_classA!$F$2:$F$39)),ABS(AI19-ICL3_classA!$F$2:$F$39),0))</f>
        <v>68</v>
      </c>
      <c r="U19" s="1">
        <f t="array" ref="U19">INDEX(ICL3_classA!$H$2:$H$39,MATCH(MIN(ABS(AI19-ICL3_classA!$F$2:$F$39)),ABS(AI19-ICL3_classA!$F$2:$F$39),0))</f>
        <v>30</v>
      </c>
      <c r="V19" s="1">
        <v>61</v>
      </c>
      <c r="W19" s="131">
        <f>VLOOKUP($B19&amp;"__wt",'SegEnds_Xtal_BW#'!$A:$Z,23,FALSE)</f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64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48</v>
      </c>
      <c r="AF19" s="1">
        <f>VLOOKUP(A19,'SegEnds_NonXtal_Prot#'!A:AL,22,FALSE)-VLOOKUP(A19,'SegEnds_NonXtal_Prot#'!A:AL,19,FALSE)</f>
        <v>20</v>
      </c>
      <c r="AG19" s="1" t="e">
        <f>VLOOKUP(A19,'SegEnds_NonXtal_Prot#'!A:AL,28,FALSE)-VLOOKUP(A19,'SegEnds_NonXtal_Prot#'!A:AL,25,FALSE)</f>
        <v>#VALUE!</v>
      </c>
      <c r="AH19" s="1">
        <f>VLOOKUP(A19,'SegEnds_NonXtal_Prot#'!A:AL,28,FALSE)-VLOOKUP(A19,'SegEnds_NonXtal_Prot#'!A:AL,22,FALSE)</f>
        <v>42</v>
      </c>
      <c r="AI19" s="1">
        <f>VLOOKUP(A19,'SegEnds_NonXtal_Prot#'!A:AL,31,FALSE)-VLOOKUP(A19,'SegEnds_NonXtal_Prot#'!A:AL,28,FALSE)</f>
        <v>42</v>
      </c>
      <c r="AJ19" s="1">
        <f>VLOOKUP(A19,'SegEnds_NonXtal_Prot#'!A:AL,34,FALSE)-VLOOKUP(A19,'SegEnds_NonXtal_Prot#'!A:AL,31,FALSE)</f>
        <v>38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307</v>
      </c>
      <c r="B20" s="1" t="str">
        <f>VLOOKUP(A20,Xtal_Templ!A:B,2,FALSE)</f>
        <v>par2_human</v>
      </c>
      <c r="C20" s="5">
        <f>VLOOKUP($B20&amp;"__wt",'SegEnds_Xtal_BW#'!$A:$Z,3,FALSE)</f>
        <v>28</v>
      </c>
      <c r="D20" s="1">
        <f>VLOOKUP($B20&amp;"__wt",'SegEnds_Xtal_BW#'!$A:$Z,4,FALSE)</f>
        <v>60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47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61</v>
      </c>
      <c r="W20" s="131">
        <f>VLOOKUP($B20&amp;"__wt",'SegEnds_Xtal_BW#'!$A:$Z,23,FALSE)</f>
        <v>31</v>
      </c>
      <c r="X20" s="108"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48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42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38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183</v>
      </c>
      <c r="B21" s="1" t="str">
        <f>VLOOKUP(A21,Xtal_Templ!A:B,2,FALSE)</f>
        <v>cnr2_human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v>48</v>
      </c>
      <c r="J21" s="1">
        <v>52</v>
      </c>
      <c r="K21" s="12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 t="str">
        <f>VLOOKUP($B21&amp;"__wt",'SegEnds_Xtal_BW#'!$A:$Z,17,FALSE)</f>
        <v>-</v>
      </c>
      <c r="R21" s="1" t="str">
        <f>VLOOKUP($B21&amp;"__wt",'SegEnds_Xtal_BW#'!$A:$Z,18,FALSE)</f>
        <v>-</v>
      </c>
      <c r="S21" s="1">
        <f>VLOOKUP($B21&amp;"__wt",'SegEnds_Xtal_BW#'!$A:$Z,19,FALSE)</f>
        <v>36</v>
      </c>
      <c r="T21" s="1">
        <f t="array" ref="T21">INDEX(ICL3_classA!$G$2:$G$39,MATCH(MIN(ABS(AI21-ICL3_classA!$F$2:$F$39)),ABS(AI21-ICL3_classA!$F$2:$F$39),0))</f>
        <v>74</v>
      </c>
      <c r="U21" s="108">
        <v>28</v>
      </c>
      <c r="V21" s="1">
        <f>VLOOKUP($B21&amp;"__wt",'SegEnds_Xtal_BW#'!$A:$Z,22,FALSE)</f>
        <v>61</v>
      </c>
      <c r="W21" s="1">
        <f>VLOOKUP($B21&amp;"__wt",'SegEnds_Xtal_BW#'!$A:$Z,23,FALSE)</f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43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215</v>
      </c>
      <c r="B22" s="1" t="str">
        <f>VLOOKUP(A22,Xtal_Templ!A:B,2,FALSE)</f>
        <v>5ht2c_human</v>
      </c>
      <c r="C22" s="5">
        <f>VLOOKUP($B22&amp;"__wt",'SegEnds_Xtal_BW#'!$A:$Z,3,FALSE)</f>
        <v>33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v>56</v>
      </c>
      <c r="O22" s="87">
        <f>VLOOKUP($B22&amp;"__wt",'SegEnds_Xtal_BW#'!$A:$Z,15,FALSE)</f>
        <v>38</v>
      </c>
      <c r="P22" s="1">
        <f>VLOOKUP($B22&amp;"__wt",'SegEnds_Xtal_BW#'!$A:$Z,16,FALSE)</f>
        <v>67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24</v>
      </c>
      <c r="V22" s="1">
        <v>61</v>
      </c>
      <c r="W22" s="131">
        <f>VLOOKUP($B22&amp;"__wt",'SegEnds_Xtal_BW#'!$A:$Z,23,FALSE)</f>
        <v>27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60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19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43</v>
      </c>
      <c r="AI22" s="1">
        <f>VLOOKUP(A22,'SegEnds_NonXtal_Prot#'!A:AL,31,FALSE)-VLOOKUP(A22,'SegEnds_NonXtal_Prot#'!A:AL,28,FALSE)</f>
        <v>48</v>
      </c>
      <c r="AJ22" s="1">
        <f>VLOOKUP(A22,'SegEnds_NonXtal_Prot#'!A:AL,34,FALSE)-VLOOKUP(A22,'SegEnds_NonXtal_Prot#'!A:AL,31,FALSE)</f>
        <v>39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217</v>
      </c>
      <c r="B23" s="1" t="str">
        <f>VLOOKUP(A23,Xtal_Templ!A:B,2,FALSE)</f>
        <v>5ht2a_human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08">
        <v>56</v>
      </c>
      <c r="O23" s="87">
        <f>VLOOKUP($B23&amp;"__wt",'SegEnds_Xtal_BW#'!$A:$Z,15,FALSE)</f>
        <v>38</v>
      </c>
      <c r="P23" s="1">
        <f>VLOOKUP($B23&amp;"__wt",'SegEnds_Xtal_BW#'!$A:$Z,16,FALSE)</f>
        <v>67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INDEX(ICL3_classA!$G$2:$G$39,MATCH(MIN(ABS(AI23-ICL3_classA!$F$2:$F$39)),ABS(AI23-ICL3_classA!$F$2:$F$39),0))</f>
        <v>67</v>
      </c>
      <c r="U23" s="1">
        <f t="array" ref="U23">INDEX(ICL3_classA!$H$2:$H$39,MATCH(MIN(ABS(AI23-ICL3_classA!$F$2:$F$39)),ABS(AI23-ICL3_classA!$F$2:$F$39),0))</f>
        <v>26</v>
      </c>
      <c r="V23" s="1">
        <v>61</v>
      </c>
      <c r="W23" s="131">
        <f>VLOOKUP($B23&amp;"__wt",'SegEnds_Xtal_BW#'!$A:$Z,23,FALSE)</f>
        <v>27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60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19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43</v>
      </c>
      <c r="AI23" s="1">
        <f>VLOOKUP(A23,'SegEnds_NonXtal_Prot#'!A:AL,31,FALSE)-VLOOKUP(A23,'SegEnds_NonXtal_Prot#'!A:AL,28,FALSE)</f>
        <v>47</v>
      </c>
      <c r="AJ23" s="1">
        <f>VLOOKUP(A23,'SegEnds_NonXtal_Prot#'!A:AL,34,FALSE)-VLOOKUP(A23,'SegEnds_NonXtal_Prot#'!A:AL,31,FALSE)</f>
        <v>39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399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68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INDEX(ICL3_classA!$G$2:$G$39,MATCH(MIN(ABS(AI26-ICL3_classA!$F$2:$F$39)),ABS(AI26-ICL3_classA!$F$2:$F$39),0))</f>
        <v>76</v>
      </c>
      <c r="U26" s="1">
        <f t="array" ref="U26">INDEX(ICL3_classA!$H$2:$H$39,MATCH(MIN(ABS(AI26-ICL3_classA!$F$2:$F$39)),ABS(AI26-ICL3_classA!$F$2:$F$39),0))</f>
        <v>24</v>
      </c>
      <c r="V26" s="1">
        <v>61</v>
      </c>
      <c r="W26" s="131">
        <v>27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21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20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91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142</v>
      </c>
      <c r="B27" s="1" t="str">
        <f>VLOOKUP(A27,Xtal_Templ!A:B,2,FALSE)</f>
        <v>fpr2_human</v>
      </c>
      <c r="C27" s="5">
        <f>VLOOKUP($B27&amp;"__wt",'SegEnds_Xtal_BW#'!$A:$Z,3,FALSE)</f>
        <v>25</v>
      </c>
      <c r="D27" s="1">
        <f>VLOOKUP($B27&amp;"__wt",'SegEnds_Xtal_BW#'!$A:$Z,4,FALSE)</f>
        <v>61</v>
      </c>
      <c r="E27" s="1" t="str">
        <f>VLOOKUP($B27&amp;"__wt",'SegEnds_Xtal_BW#'!$A:$Z,5,FALSE)</f>
        <v>-</v>
      </c>
      <c r="F27" s="1" t="str">
        <f>VLOOKUP($B27&amp;"__wt",'SegEnds_Xtal_BW#'!$A:$Z,6,FALSE)</f>
        <v>-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08">
        <v>35</v>
      </c>
      <c r="T27" s="1">
        <f t="array" ref="T27">INDEX(ICL3_classA!$G$2:$G$39,MATCH(MIN(ABS(AI27-ICL3_classA!$F$2:$F$39)),ABS(AI27-ICL3_classA!$F$2:$F$39),0))</f>
        <v>64</v>
      </c>
      <c r="U27" s="1">
        <f t="array" ref="U27">INDEX(ICL3_classA!$H$2:$H$39,MATCH(MIN(ABS(AI27-ICL3_classA!$F$2:$F$39)),ABS(AI27-ICL3_classA!$F$2:$F$39),0))</f>
        <v>34</v>
      </c>
      <c r="V27" s="1">
        <v>64</v>
      </c>
      <c r="W27" s="1">
        <v>24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30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48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23</v>
      </c>
      <c r="AH27" s="1">
        <f>VLOOKUP(A27,'SegEnds_NonXtal_Prot#'!A:AL,28,FALSE)-VLOOKUP(A27,'SegEnds_NonXtal_Prot#'!A:AL,22,FALSE)</f>
        <v>44</v>
      </c>
      <c r="AI27" s="1">
        <f>VLOOKUP(A27,'SegEnds_NonXtal_Prot#'!A:AL,31,FALSE)-VLOOKUP(A27,'SegEnds_NonXtal_Prot#'!A:AL,28,FALSE)</f>
        <v>37</v>
      </c>
      <c r="AJ27" s="1">
        <f>VLOOKUP(A27,'SegEnds_NonXtal_Prot#'!A:AL,34,FALSE)-VLOOKUP(A27,'SegEnds_NonXtal_Prot#'!A:AL,31,FALSE)</f>
        <v>46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193</v>
      </c>
      <c r="B28" s="1" t="str">
        <f>VLOOKUP(A28,Xtal_Templ!A:B,2,FALSE)</f>
        <v>drd4_human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38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19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INDEX(ICL3_classA!$G$2:$G$39,MATCH(MIN(ABS(AI28-ICL3_classA!$F$2:$F$39)),ABS(AI28-ICL3_classA!$F$2:$F$39),0))</f>
        <v>75</v>
      </c>
      <c r="U28" s="1">
        <f t="array" ref="U28">INDEX(ICL3_classA!$H$2:$H$39,MATCH(MIN(ABS(AI28-ICL3_classA!$F$2:$F$39)),ABS(AI28-ICL3_classA!$F$2:$F$39),0))</f>
        <v>24</v>
      </c>
      <c r="V28" s="1">
        <f>VLOOKUP($B28&amp;"__wt",'SegEnds_Xtal_BW#'!$A:$Z,22,FALSE)</f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21</v>
      </c>
      <c r="AE28" s="1">
        <f>VLOOKUP(A28,'SegEnds_NonXtal_Prot#'!A:AL,16,FALSE)-VLOOKUP(A28,'SegEnds_NonXtal_Prot#'!A:AL,10,FALSE)</f>
        <v>53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19</v>
      </c>
      <c r="AH28" s="1">
        <f>VLOOKUP(A28,'SegEnds_NonXtal_Prot#'!A:AL,28,FALSE)-VLOOKUP(A28,'SegEnds_NonXtal_Prot#'!A:AL,22,FALSE)</f>
        <v>44</v>
      </c>
      <c r="AI28" s="1">
        <f>VLOOKUP(A28,'SegEnds_NonXtal_Prot#'!A:AL,31,FALSE)-VLOOKUP(A28,'SegEnds_NonXtal_Prot#'!A:AL,28,FALSE)</f>
        <v>205</v>
      </c>
      <c r="AJ28" s="1">
        <f>VLOOKUP(A28,'SegEnds_NonXtal_Prot#'!A:AL,34,FALSE)-VLOOKUP(A28,'SegEnds_NonXtal_Prot#'!A:AL,31,FALSE)</f>
        <v>36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213</v>
      </c>
      <c r="B29" s="1" t="str">
        <f>VLOOKUP(A29,Xtal_Templ!A:B,2,FALSE)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f>VLOOKUP($B29&amp;"__wt",'SegEnds_Xtal_BW#'!$A:$Z,8,FALSE)</f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56</v>
      </c>
      <c r="O29" s="87">
        <f>VLOOKUP($B29&amp;"__wt",'SegEnds_Xtal_BW#'!$A:$Z,15,FALSE)</f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67</v>
      </c>
      <c r="U29" s="1">
        <f t="array" ref="U29">INDEX(ICL3_classA!$H$2:$H$39,MATCH(MIN(ABS(AI29-ICL3_classA!$F$2:$F$39)),ABS(AI29-ICL3_classA!$F$2:$F$39),0))</f>
        <v>26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 t="e">
        <f>VLOOKUP(A29,'SegEnds_NonXtal_Prot#'!A:AL,10,FALSE)-VLOOKUP(A29,'SegEnds_NonXtal_Prot#'!A:AL,7,FALSE)</f>
        <v>#VALUE!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 t="e">
        <f>VLOOKUP(A29,'SegEnds_NonXtal_Prot#'!A:AL,22,FALSE)-VLOOKUP(A29,'SegEnds_NonXtal_Prot#'!A:AL,19,FALSE)</f>
        <v>#VALUE!</v>
      </c>
      <c r="AG29" s="1">
        <f>VLOOKUP(A29,'SegEnds_NonXtal_Prot#'!A:AL,28,FALSE)-VLOOKUP(A29,'SegEnds_NonXtal_Prot#'!A:AL,25,FALSE)</f>
        <v>25</v>
      </c>
      <c r="AH29" s="1">
        <f>VLOOKUP(A29,'SegEnds_NonXtal_Prot#'!A:AL,28,FALSE)-VLOOKUP(A29,'SegEnds_NonXtal_Prot#'!A:AL,22,FALSE)</f>
        <v>44</v>
      </c>
      <c r="AI29" s="1">
        <f>VLOOKUP(A29,'SegEnds_NonXtal_Prot#'!A:AL,31,FALSE)-VLOOKUP(A29,'SegEnds_NonXtal_Prot#'!A:AL,28,FALSE)</f>
        <v>46</v>
      </c>
      <c r="AJ29" s="1">
        <f>VLOOKUP(A29,'SegEnds_NonXtal_Prot#'!A:AL,34,FALSE)-VLOOKUP(A29,'SegEnds_NonXtal_Prot#'!A:AL,31,FALSE)</f>
        <v>48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4" t="s">
        <v>234</v>
      </c>
      <c r="B30" s="4" t="str">
        <f>VLOOKUP(A30,Xtal_Templ!A:B,2,FALSE)</f>
        <v>lpar1_human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>
        <f>VLOOKUP($B30&amp;"__wt",'SegEnds_Xtal_BW#'!$A:$Z,5,FALSE)</f>
        <v>48</v>
      </c>
      <c r="F30" s="4">
        <f>VLOOKUP($B30&amp;"__wt",'SegEnds_Xtal_BW#'!$A:$Z,6,FALSE)</f>
        <v>51</v>
      </c>
      <c r="G30" s="4">
        <v>37</v>
      </c>
      <c r="H30" s="11">
        <v>66</v>
      </c>
      <c r="I30" s="4">
        <v>48</v>
      </c>
      <c r="J30" s="4">
        <v>52</v>
      </c>
      <c r="K30" s="11">
        <v>24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">
        <f>VLOOKUP($B30&amp;"__wt",'SegEnds_Xtal_BW#'!$A:$Z,14,FALSE)</f>
        <v>56</v>
      </c>
      <c r="O30" s="88">
        <v>38</v>
      </c>
      <c r="P30" s="4">
        <f>VLOOKUP($B30&amp;"__wt",'SegEnds_Xtal_BW#'!$A:$Z,16,FALSE)</f>
        <v>63</v>
      </c>
      <c r="Q30" s="115">
        <v>50</v>
      </c>
      <c r="R30" s="115">
        <v>52</v>
      </c>
      <c r="S30" s="4">
        <v>35</v>
      </c>
      <c r="T30" s="4">
        <f t="array" ref="T30">INDEX(ICL3_classA!$G$2:$G$39,MATCH(MIN(ABS(AI30-ICL3_classA!$F$2:$F$39)),ABS(AI30-ICL3_classA!$F$2:$F$39),0))</f>
        <v>74</v>
      </c>
      <c r="U30" s="4">
        <f t="array" ref="U30">INDEX(ICL3_classA!$H$2:$H$39,MATCH(MIN(ABS(AI30-ICL3_classA!$F$2:$F$39)),ABS(AI30-ICL3_classA!$F$2:$F$39),0))</f>
        <v>21</v>
      </c>
      <c r="V30" s="4">
        <v>61</v>
      </c>
      <c r="W30" s="131">
        <f>VLOOKUP($B30&amp;"__wt",'SegEnds_Xtal_BW#'!$A:$Z,23,FALSE)</f>
        <v>30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4">
        <f>VLOOKUP(A30,'SegEnds_NonXtal_Prot#'!A:AL,10,FALSE)-VLOOKUP(A30,'SegEnds_NonXtal_Prot#'!A:AL,7,FALSE)</f>
        <v>16</v>
      </c>
      <c r="AD30" s="4" t="e">
        <f>VLOOKUP(A30,'SegEnds_NonXtal_Prot#'!A:AL,13,FALSE)-VLOOKUP(A30,'SegEnds_NonXtal_Prot#'!A:AL,10,FALSE)</f>
        <v>#VALUE!</v>
      </c>
      <c r="AE30" s="4">
        <f>VLOOKUP(A30,'SegEnds_NonXtal_Prot#'!A:AL,16,FALSE)-VLOOKUP(A30,'SegEnds_NonXtal_Prot#'!A:AL,10,FALSE)</f>
        <v>49</v>
      </c>
      <c r="AF30" s="1" t="e">
        <f>VLOOKUP(A30,'SegEnds_NonXtal_Prot#'!A:AL,22,FALSE)-VLOOKUP(A30,'SegEnds_NonXtal_Prot#'!A:AL,19,FALSE)</f>
        <v>#VALUE!</v>
      </c>
      <c r="AG30" s="4">
        <f>VLOOKUP(A30,'SegEnds_NonXtal_Prot#'!A:AL,28,FALSE)-VLOOKUP(A30,'SegEnds_NonXtal_Prot#'!A:AL,25,FALSE)</f>
        <v>21</v>
      </c>
      <c r="AH30" s="1">
        <f>VLOOKUP(A30,'SegEnds_NonXtal_Prot#'!A:AL,28,FALSE)-VLOOKUP(A30,'SegEnds_NonXtal_Prot#'!A:AL,22,FALSE)</f>
        <v>44</v>
      </c>
      <c r="AI30" s="4">
        <f>VLOOKUP(A30,'SegEnds_NonXtal_Prot#'!A:AL,31,FALSE)-VLOOKUP(A30,'SegEnds_NonXtal_Prot#'!A:AL,28,FALSE)</f>
        <v>63</v>
      </c>
      <c r="AJ30" s="4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235</v>
      </c>
      <c r="B31" s="1" t="str">
        <f>VLOOKUP(A31,Xtal_Templ!A:B,2,FALSE)</f>
        <v>cltr2_human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34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24</v>
      </c>
      <c r="V31" s="1">
        <v>64</v>
      </c>
      <c r="W31" s="1">
        <v>24</v>
      </c>
      <c r="X31" s="124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60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21</v>
      </c>
      <c r="AH31" s="1">
        <f>VLOOKUP(A31,'SegEnds_NonXtal_Prot#'!A:AL,28,FALSE)-VLOOKUP(A31,'SegEnds_NonXtal_Prot#'!A:AL,22,FALSE)</f>
        <v>44</v>
      </c>
      <c r="AI31" s="1">
        <f>VLOOKUP(A31,'SegEnds_NonXtal_Prot#'!A:AL,31,FALSE)-VLOOKUP(A31,'SegEnds_NonXtal_Prot#'!A:AL,28,FALSE)</f>
        <v>48</v>
      </c>
      <c r="AJ31" s="1">
        <f>VLOOKUP(A31,'SegEnds_NonXtal_Prot#'!A:AL,34,FALSE)-VLOOKUP(A31,'SegEnds_NonXtal_Prot#'!A:AL,31,FALSE)</f>
        <v>47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4" t="s">
        <v>237</v>
      </c>
      <c r="B32" s="4" t="str">
        <f>VLOOKUP(A32,Xtal_Templ!A:B,2,FALSE)</f>
        <v>lpar1_human</v>
      </c>
      <c r="C32" s="5">
        <f>VLOOKUP($B32&amp;"__wt",'SegEnds_Xtal_BW#'!$A:$Z,3,FALSE)</f>
        <v>30</v>
      </c>
      <c r="D32" s="4">
        <f>VLOOKUP($B32&amp;"__wt",'SegEnds_Xtal_BW#'!$A:$Z,4,FALSE)</f>
        <v>60</v>
      </c>
      <c r="E32" s="4">
        <f>VLOOKUP($B32&amp;"__wt",'SegEnds_Xtal_BW#'!$A:$Z,5,FALSE)</f>
        <v>48</v>
      </c>
      <c r="F32" s="4">
        <f>VLOOKUP($B32&amp;"__wt",'SegEnds_Xtal_BW#'!$A:$Z,6,FALSE)</f>
        <v>51</v>
      </c>
      <c r="G32" s="4">
        <v>37</v>
      </c>
      <c r="H32" s="11">
        <v>62</v>
      </c>
      <c r="I32" s="4">
        <v>48</v>
      </c>
      <c r="J32" s="4">
        <v>52</v>
      </c>
      <c r="K32" s="11">
        <v>24</v>
      </c>
      <c r="L32" s="4">
        <f>VLOOKUP($B32&amp;"__wt",'SegEnds_Xtal_BW#'!$A:$Z,12,FALSE)</f>
        <v>56</v>
      </c>
      <c r="M32" s="4">
        <f>VLOOKUP($B32&amp;"__wt",'SegEnds_Xtal_BW#'!$A:$Z,13,FALSE)</f>
        <v>50</v>
      </c>
      <c r="N32" s="11">
        <v>57</v>
      </c>
      <c r="O32" s="88">
        <v>38</v>
      </c>
      <c r="P32" s="4">
        <f>VLOOKUP($B32&amp;"__wt",'SegEnds_Xtal_BW#'!$A:$Z,16,FALSE)</f>
        <v>63</v>
      </c>
      <c r="Q32" s="4" t="str">
        <f>VLOOKUP($B32&amp;"__wt",'SegEnds_Xtal_BW#'!$A:$Z,17,FALSE)</f>
        <v>-</v>
      </c>
      <c r="R32" s="4" t="str">
        <f>VLOOKUP($B32&amp;"__wt",'SegEnds_Xtal_BW#'!$A:$Z,18,FALSE)</f>
        <v>-</v>
      </c>
      <c r="S32" s="4">
        <f>VLOOKUP($B32&amp;"__wt",'SegEnds_Xtal_BW#'!$A:$Z,19,FALSE)</f>
        <v>36</v>
      </c>
      <c r="T32" s="4">
        <f t="array" ref="T32">INDEX(ICL3_classA!$G$2:$G$39,MATCH(MIN(ABS(AI32-ICL3_classA!$F$2:$F$39)),ABS(AI32-ICL3_classA!$F$2:$F$39),0))</f>
        <v>73</v>
      </c>
      <c r="U32" s="4">
        <f t="array" ref="U32">INDEX(ICL3_classA!$H$2:$H$39,MATCH(MIN(ABS(AI32-ICL3_classA!$F$2:$F$39)),ABS(AI32-ICL3_classA!$F$2:$F$39),0))</f>
        <v>22</v>
      </c>
      <c r="V32" s="4">
        <v>61</v>
      </c>
      <c r="W32" s="4">
        <v>34</v>
      </c>
      <c r="X32" s="4">
        <f>VLOOKUP($B32&amp;"__wt",'SegEnds_Xtal_BW#'!$A:$Z,24,FALSE)</f>
        <v>56</v>
      </c>
      <c r="Y32" s="4">
        <f>VLOOKUP($B32&amp;"__wt",'SegEnds_Xtal_BW#'!$A:$Z,25,FALSE)</f>
        <v>47</v>
      </c>
      <c r="Z32" s="4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4" t="e">
        <f>VLOOKUP(A32,'SegEnds_NonXtal_Prot#'!A:AL,10,FALSE)-VLOOKUP(A32,'SegEnds_NonXtal_Prot#'!A:AL,7,FALSE)</f>
        <v>#VALUE!</v>
      </c>
      <c r="AD32" s="4">
        <f>VLOOKUP(A32,'SegEnds_NonXtal_Prot#'!A:AL,13,FALSE)-VLOOKUP(A32,'SegEnds_NonXtal_Prot#'!A:AL,10,FALSE)</f>
        <v>15</v>
      </c>
      <c r="AE32" s="4">
        <f>VLOOKUP(A32,'SegEnds_NonXtal_Prot#'!A:AL,16,FALSE)-VLOOKUP(A32,'SegEnds_NonXtal_Prot#'!A:AL,10,FALSE)</f>
        <v>48</v>
      </c>
      <c r="AF32" s="1">
        <f>VLOOKUP(A32,'SegEnds_NonXtal_Prot#'!A:AL,22,FALSE)-VLOOKUP(A32,'SegEnds_NonXtal_Prot#'!A:AL,19,FALSE)</f>
        <v>20</v>
      </c>
      <c r="AG32" s="4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44</v>
      </c>
      <c r="AI32" s="4">
        <f>VLOOKUP(A32,'SegEnds_NonXtal_Prot#'!A:AL,31,FALSE)-VLOOKUP(A32,'SegEnds_NonXtal_Prot#'!A:AL,28,FALSE)</f>
        <v>57</v>
      </c>
      <c r="AJ32" s="4">
        <f>VLOOKUP(A32,'SegEnds_NonXtal_Prot#'!A:AL,34,FALSE)-VLOOKUP(A32,'SegEnds_NonXtal_Prot#'!A:AL,31,FALSE)</f>
        <v>32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248</v>
      </c>
      <c r="B33" s="1" t="str">
        <f>VLOOKUP(A33,Xtal_Templ!A:B,2,FALSE)</f>
        <v>lpar1_human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62</v>
      </c>
      <c r="I33" s="1">
        <v>48</v>
      </c>
      <c r="J33" s="1"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INDEX(ICL3_classA!$G$2:$G$39,MATCH(MIN(ABS(AI33-ICL3_classA!$F$2:$F$39)),ABS(AI33-ICL3_classA!$F$2:$F$39),0))</f>
        <v>73</v>
      </c>
      <c r="U33" s="1">
        <f t="array" ref="U33">INDEX(ICL3_classA!$H$2:$H$39,MATCH(MIN(ABS(AI33-ICL3_classA!$F$2:$F$39)),ABS(AI33-ICL3_classA!$F$2:$F$39),0))</f>
        <v>22</v>
      </c>
      <c r="V33" s="1">
        <v>61</v>
      </c>
      <c r="W33" s="1">
        <v>34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15</v>
      </c>
      <c r="AE33" s="1">
        <f>VLOOKUP(A33,'SegEnds_NonXtal_Prot#'!A:AL,16,FALSE)-VLOOKUP(A33,'SegEnds_NonXtal_Prot#'!A:AL,10,FALSE)</f>
        <v>48</v>
      </c>
      <c r="AF33" s="1">
        <f>VLOOKUP(A33,'SegEnds_NonXtal_Prot#'!A:AL,22,FALSE)-VLOOKUP(A33,'SegEnds_NonXtal_Prot#'!A:AL,19,FALSE)</f>
        <v>20</v>
      </c>
      <c r="AG33" s="1" t="e">
        <f>VLOOKUP(A33,'SegEnds_NonXtal_Prot#'!A:AL,28,FALSE)-VLOOKUP(A33,'SegEnds_NonXtal_Prot#'!A:AL,25,FALSE)</f>
        <v>#VALUE!</v>
      </c>
      <c r="AH33" s="1">
        <f>VLOOKUP(A33,'SegEnds_NonXtal_Prot#'!A:AL,28,FALSE)-VLOOKUP(A33,'SegEnds_NonXtal_Prot#'!A:AL,22,FALSE)</f>
        <v>44</v>
      </c>
      <c r="AI33" s="1">
        <f>VLOOKUP(A33,'SegEnds_NonXtal_Prot#'!A:AL,31,FALSE)-VLOOKUP(A33,'SegEnds_NonXtal_Prot#'!A:AL,28,FALSE)</f>
        <v>57</v>
      </c>
      <c r="AJ33" s="1">
        <f>VLOOKUP(A33,'SegEnds_NonXtal_Prot#'!A:AL,34,FALSE)-VLOOKUP(A33,'SegEnds_NonXtal_Prot#'!A:AL,31,FALSE)</f>
        <v>32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261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INDEX(ICL3_classA!$G$2:$G$39,MATCH(MIN(ABS(AI34-ICL3_classA!$F$2:$F$39)),ABS(AI34-ICL3_classA!$F$2:$F$39),0))</f>
        <v>73</v>
      </c>
      <c r="U34" s="1">
        <f t="array" ref="U34">INDEX(ICL3_classA!$H$2:$H$39,MATCH(MIN(ABS(AI34-ICL3_classA!$F$2:$F$39)),ABS(AI34-ICL3_classA!$F$2:$F$39),0))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15</v>
      </c>
      <c r="AE34" s="1">
        <f>VLOOKUP(A34,'SegEnds_NonXtal_Prot#'!A:AL,16,FALSE)-VLOOKUP(A34,'SegEnds_NonXtal_Prot#'!A:AL,10,FALSE)</f>
        <v>48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44</v>
      </c>
      <c r="AI34" s="1">
        <f>VLOOKUP(A34,'SegEnds_NonXtal_Prot#'!A:AL,31,FALSE)-VLOOKUP(A34,'SegEnds_NonXtal_Prot#'!A:AL,28,FALSE)</f>
        <v>57</v>
      </c>
      <c r="AJ34" s="1">
        <f>VLOOKUP(A34,'SegEnds_NonXtal_Prot#'!A:AL,34,FALSE)-VLOOKUP(A34,'SegEnds_NonXtal_Prot#'!A:AL,31,FALSE)</f>
        <v>32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293</v>
      </c>
      <c r="B35" s="1" t="str">
        <f>VLOOKUP(A35,Xtal_Templ!A:B,2,FALSE)</f>
        <v>agtr1_human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34</v>
      </c>
      <c r="T35" s="1">
        <f t="array" ref="T35">INDEX(ICL3_classA!$G$2:$G$39,MATCH(MIN(ABS(AI35-ICL3_classA!$F$2:$F$39)),ABS(AI35-ICL3_classA!$F$2:$F$39),0))</f>
        <v>68</v>
      </c>
      <c r="U35" s="1">
        <f t="array" ref="U35">INDEX(ICL3_classA!$H$2:$H$39,MATCH(MIN(ABS(AI35-ICL3_classA!$F$2:$F$39)),ABS(AI35-ICL3_classA!$F$2:$F$39),0))</f>
        <v>30</v>
      </c>
      <c r="V35" s="1">
        <v>61</v>
      </c>
      <c r="W35" s="1">
        <v>32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53</v>
      </c>
      <c r="AF35" s="1">
        <f>VLOOKUP(A35,'SegEnds_NonXtal_Prot#'!A:AL,22,FALSE)-VLOOKUP(A35,'SegEnds_NonXtal_Prot#'!A:AL,19,FALSE)</f>
        <v>20</v>
      </c>
      <c r="AG35" s="1" t="e">
        <f>VLOOKUP(A35,'SegEnds_NonXtal_Prot#'!A:AL,28,FALSE)-VLOOKUP(A35,'SegEnds_NonXtal_Prot#'!A:AL,25,FALSE)</f>
        <v>#VALUE!</v>
      </c>
      <c r="AH35" s="1">
        <f>VLOOKUP(A35,'SegEnds_NonXtal_Prot#'!A:AL,28,FALSE)-VLOOKUP(A35,'SegEnds_NonXtal_Prot#'!A:AL,22,FALSE)</f>
        <v>44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34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21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115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152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INDEX(ICL3_classA!$G$2:$G$39,MATCH(MIN(ABS(AI37-ICL3_classA!$F$2:$F$39)),ABS(AI37-ICL3_classA!$F$2:$F$39),0))</f>
        <v>76</v>
      </c>
      <c r="U37" s="1">
        <f t="array" ref="U37">INDEX(ICL3_classA!$H$2:$H$39,MATCH(MIN(ABS(AI37-ICL3_classA!$F$2:$F$39)),ABS(AI37-ICL3_classA!$F$2:$F$39),0))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91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153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INDEX(ICL3_classA!$G$2:$G$39,MATCH(MIN(ABS(AI38-ICL3_classA!$F$2:$F$39)),ABS(AI38-ICL3_classA!$F$2:$F$39),0))</f>
        <v>74</v>
      </c>
      <c r="U38" s="1">
        <f t="array" ref="U38">INDEX(ICL3_classA!$H$2:$H$39,MATCH(MIN(ABS(AI38-ICL3_classA!$F$2:$F$39)),ABS(AI38-ICL3_classA!$F$2:$F$39),0))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45</v>
      </c>
      <c r="AI38" s="1">
        <f>VLOOKUP(A38,'SegEnds_NonXtal_Prot#'!A:AL,31,FALSE)-VLOOKUP(A38,'SegEnds_NonXtal_Prot#'!A:AL,28,FALSE)</f>
        <v>94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154</v>
      </c>
      <c r="B39" s="1" t="str">
        <f>VLOOKUP(A39,Xtal_Templ!A:B,2,FALSE)</f>
        <v>adrb2_human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INDEX(ICL3_classA!$G$2:$G$39,MATCH(MIN(ABS(AI39-ICL3_classA!$F$2:$F$39)),ABS(AI39-ICL3_classA!$F$2:$F$39),0))</f>
        <v>74</v>
      </c>
      <c r="U39" s="1">
        <f t="array" ref="U39">INDEX(ICL3_classA!$H$2:$H$39,MATCH(MIN(ABS(AI39-ICL3_classA!$F$2:$F$39)),ABS(AI39-ICL3_classA!$F$2:$F$39),0))</f>
        <v>24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45</v>
      </c>
      <c r="AI39" s="1">
        <f>VLOOKUP(A39,'SegEnds_NonXtal_Prot#'!A:AL,31,FALSE)-VLOOKUP(A39,'SegEnds_NonXtal_Prot#'!A:AL,28,FALSE)</f>
        <v>97</v>
      </c>
      <c r="AJ39" s="1">
        <f>VLOOKUP(A39,'SegEnds_NonXtal_Prot#'!A:AL,34,FALSE)-VLOOKUP(A39,'SegEnds_NonXtal_Prot#'!A:AL,31,FALSE)</f>
        <v>36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INDEX(ICL3_classA!$G$2:$G$39,MATCH(MIN(ABS(AI40-ICL3_classA!$F$2:$F$39)),ABS(AI40-ICL3_classA!$F$2:$F$39),0))</f>
        <v>76</v>
      </c>
      <c r="U40" s="1">
        <f t="array" ref="U40">INDEX(ICL3_classA!$H$2:$H$39,MATCH(MIN(ABS(AI40-ICL3_classA!$F$2:$F$39)),ABS(AI40-ICL3_classA!$F$2:$F$39),0))</f>
        <v>24</v>
      </c>
      <c r="V40" s="1">
        <f>VLOOKUP($B40&amp;"__wt",'SegEnds_Xtal_BW#'!$A:$Z,22,FALSE)</f>
        <v>61</v>
      </c>
      <c r="W40" s="1">
        <f>VLOOKUP($B40&amp;"__wt",'SegEnds_Xtal_BW#'!$A:$Z,23,FALSE)</f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29</v>
      </c>
      <c r="AC40" s="1">
        <f>VLOOKUP(A40,'SegEnds_NonXtal_Prot#'!A:AL,10,FALSE)-VLOOKUP(A40,'SegEnds_NonXtal_Prot#'!A:AL,7,FALSE)</f>
        <v>16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 t="e">
        <f>VLOOKUP(A40,'SegEnds_NonXtal_Prot#'!A:AL,28,FALSE)-VLOOKUP(A40,'SegEnds_NonXtal_Prot#'!A:AL,25,FALSE)</f>
        <v>#VALUE!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72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265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INDEX(ICL3_classA!$G$2:$G$39,MATCH(MIN(ABS(AI41-ICL3_classA!$F$2:$F$39)),ABS(AI41-ICL3_classA!$F$2:$F$39),0))</f>
        <v>76</v>
      </c>
      <c r="U41" s="1">
        <f t="array" ref="U41">INDEX(ICL3_classA!$H$2:$H$39,MATCH(MIN(ABS(AI41-ICL3_classA!$F$2:$F$39)),ABS(AI41-ICL3_classA!$F$2:$F$39),0))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30</v>
      </c>
      <c r="AC41" s="1">
        <f>VLOOKUP(A41,'SegEnds_NonXtal_Prot#'!A:AL,10,FALSE)-VLOOKUP(A41,'SegEnds_NonXtal_Prot#'!A:AL,7,FALSE)</f>
        <v>15</v>
      </c>
      <c r="AD41" s="1" t="e">
        <f>VLOOKUP(A41,'SegEnds_NonXtal_Prot#'!A:AL,13,FALSE)-VLOOKUP(A41,'SegEnds_NonXtal_Prot#'!A:AL,10,FALSE)</f>
        <v>#VALUE!</v>
      </c>
      <c r="AE41" s="1">
        <f>VLOOKUP(A41,'SegEnds_NonXtal_Prot#'!A:AL,16,FALSE)-VLOOKUP(A41,'SegEnds_NonXtal_Prot#'!A:AL,10,FALSE)</f>
        <v>53</v>
      </c>
      <c r="AF41" s="1" t="e">
        <f>VLOOKUP(A41,'SegEnds_NonXtal_Prot#'!A:AL,22,FALSE)-VLOOKUP(A41,'SegEnds_NonXtal_Prot#'!A:AL,19,FALSE)</f>
        <v>#VALUE!</v>
      </c>
      <c r="AG41" s="1">
        <f>VLOOKUP(A41,'SegEnds_NonXtal_Prot#'!A:AL,28,FALSE)-VLOOKUP(A41,'SegEnds_NonXtal_Prot#'!A:AL,25,FALSE)</f>
        <v>25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122</v>
      </c>
      <c r="AJ41" s="1">
        <f>VLOOKUP(A41,'SegEnds_NonXtal_Prot#'!A:AL,34,FALSE)-VLOOKUP(A41,'SegEnds_NonXtal_Prot#'!A:AL,31,FALSE)</f>
        <v>37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INDEX(ICL3_classA!$G$2:$G$39,MATCH(MIN(ABS(AI42-ICL3_classA!$F$2:$F$39)),ABS(AI42-ICL3_classA!$F$2:$F$39),0))</f>
        <v>73</v>
      </c>
      <c r="U42" s="1">
        <f t="array" ref="U42">INDEX(ICL3_classA!$H$2:$H$39,MATCH(MIN(ABS(AI42-ICL3_classA!$F$2:$F$39)),ABS(AI42-ICL3_classA!$F$2:$F$39),0))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18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19</v>
      </c>
      <c r="AG42" s="1" t="e">
        <f>VLOOKUP(A42,'SegEnds_NonXtal_Prot#'!A:AL,28,FALSE)-VLOOKUP(A42,'SegEnds_NonXtal_Prot#'!A:AL,25,FALSE)</f>
        <v>#VALUE!</v>
      </c>
      <c r="AH42" s="1">
        <f>VLOOKUP(A42,'SegEnds_NonXtal_Prot#'!A:AL,28,FALSE)-VLOOKUP(A42,'SegEnds_NonXtal_Prot#'!A:AL,22,FALSE)</f>
        <v>45</v>
      </c>
      <c r="AI42" s="1">
        <f>VLOOKUP(A42,'SegEnds_NonXtal_Prot#'!A:AL,31,FALSE)-VLOOKUP(A42,'SegEnds_NonXtal_Prot#'!A:AL,28,FALSE)</f>
        <v>56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285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56</v>
      </c>
      <c r="O43" s="87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INDEX(ICL3_classA!$G$2:$G$39,MATCH(MIN(ABS(AI43-ICL3_classA!$F$2:$F$39)),ABS(AI43-ICL3_classA!$F$2:$F$39),0))</f>
        <v>73</v>
      </c>
      <c r="U43" s="1">
        <f t="array" ref="U43">INDEX(ICL3_classA!$H$2:$H$39,MATCH(MIN(ABS(AI43-ICL3_classA!$F$2:$F$39)),ABS(AI43-ICL3_classA!$F$2:$F$39),0))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18</v>
      </c>
      <c r="AE43" s="1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19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45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36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286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08">
        <v>56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73</v>
      </c>
      <c r="U44" s="1">
        <f t="array" ref="U44">INDEX(ICL3_classA!$H$2:$H$39,MATCH(MIN(ABS(AI44-ICL3_classA!$F$2:$F$39)),ABS(AI44-ICL3_classA!$F$2:$F$39),0))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18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19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56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4" t="s">
        <v>104</v>
      </c>
      <c r="B45" s="4" t="str">
        <f>VLOOKUP(A45,Xtal_Templ!A:B,2,FALSE)</f>
        <v>s1pr1_human</v>
      </c>
      <c r="C45" s="5">
        <f>VLOOKUP($B45&amp;"__wt",'SegEnds_Xtal_BW#'!$A:$Z,3,FALSE)</f>
        <v>29</v>
      </c>
      <c r="D45" s="4">
        <f>VLOOKUP($B45&amp;"__wt",'SegEnds_Xtal_BW#'!$A:$Z,4,FALSE)</f>
        <v>60</v>
      </c>
      <c r="E45" s="4">
        <f>VLOOKUP($B45&amp;"__wt",'SegEnds_Xtal_BW#'!$A:$Z,5,FALSE)</f>
        <v>48</v>
      </c>
      <c r="F45" s="4">
        <f>VLOOKUP($B45&amp;"__wt",'SegEnds_Xtal_BW#'!$A:$Z,6,FALSE)</f>
        <v>51</v>
      </c>
      <c r="G45" s="4">
        <v>37</v>
      </c>
      <c r="H45" s="11">
        <v>63</v>
      </c>
      <c r="I45" s="4">
        <f>VLOOKUP($B45&amp;"__wt",'SegEnds_Xtal_BW#'!$A:$Z,9,FALSE)</f>
        <v>47</v>
      </c>
      <c r="J45" s="4">
        <f>VLOOKUP($B45&amp;"__wt",'SegEnds_Xtal_BW#'!$A:$Z,10,FALSE)</f>
        <v>53</v>
      </c>
      <c r="K45" s="11">
        <f>VLOOKUP($B45&amp;"__wt",'SegEnds_Xtal_BW#'!$A:$Z,11,FALSE)</f>
        <v>21</v>
      </c>
      <c r="L45" s="4">
        <f>VLOOKUP($B45&amp;"__wt",'SegEnds_Xtal_BW#'!$A:$Z,12,FALSE)</f>
        <v>56</v>
      </c>
      <c r="M45" s="4">
        <f>VLOOKUP($B45&amp;"__wt",'SegEnds_Xtal_BW#'!$A:$Z,13,FALSE)</f>
        <v>50</v>
      </c>
      <c r="N45" s="108">
        <f>VLOOKUP($B45&amp;"__wt",'SegEnds_Xtal_BW#'!$A:$Z,14,FALSE)</f>
        <v>56</v>
      </c>
      <c r="O45" s="87">
        <f>VLOOKUP($B45&amp;"__wt",'SegEnds_Xtal_BW#'!$A:$Z,15,FALSE)</f>
        <v>38</v>
      </c>
      <c r="P45" s="4">
        <f>VLOOKUP($B45&amp;"__wt",'SegEnds_Xtal_BW#'!$A:$Z,16,FALSE)</f>
        <v>63</v>
      </c>
      <c r="Q45" s="4" t="str">
        <f>VLOOKUP($B45&amp;"__wt",'SegEnds_Xtal_BW#'!$A:$Z,17,FALSE)</f>
        <v>-</v>
      </c>
      <c r="R45" s="4" t="str">
        <f>VLOOKUP($B45&amp;"__wt",'SegEnds_Xtal_BW#'!$A:$Z,18,FALSE)</f>
        <v>-</v>
      </c>
      <c r="S45" s="4">
        <f>VLOOKUP($B45&amp;"__wt",'SegEnds_Xtal_BW#'!$A:$Z,19,FALSE)</f>
        <v>36</v>
      </c>
      <c r="T45" s="4">
        <f t="array" ref="T45">INDEX(ICL3_classA!$G$2:$G$39,MATCH(MIN(ABS(AI45-ICL3_classA!$F$2:$F$39)),ABS(AI45-ICL3_classA!$F$2:$F$39),0))</f>
        <v>73</v>
      </c>
      <c r="U45" s="4">
        <f t="array" ref="U45">INDEX(ICL3_classA!$H$2:$H$39,MATCH(MIN(ABS(AI45-ICL3_classA!$F$2:$F$39)),ABS(AI45-ICL3_classA!$F$2:$F$39),0))</f>
        <v>24</v>
      </c>
      <c r="V45" s="4">
        <v>61</v>
      </c>
      <c r="W45" s="4">
        <v>30</v>
      </c>
      <c r="X45" s="1">
        <f>VLOOKUP($B45&amp;"__wt",'SegEnds_Xtal_BW#'!$A:$Z,24,FALSE)</f>
        <v>56</v>
      </c>
      <c r="Y45" s="4">
        <f>VLOOKUP($B45&amp;"__wt",'SegEnds_Xtal_BW#'!$A:$Z,25,FALSE)</f>
        <v>47</v>
      </c>
      <c r="Z45" s="4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4">
        <f>VLOOKUP(A45,'SegEnds_NonXtal_Prot#'!A:AL,10,FALSE)-VLOOKUP(A45,'SegEnds_NonXtal_Prot#'!A:AL,7,FALSE)</f>
        <v>15</v>
      </c>
      <c r="AD45" s="4">
        <f>VLOOKUP(A45,'SegEnds_NonXtal_Prot#'!A:AL,13,FALSE)-VLOOKUP(A45,'SegEnds_NonXtal_Prot#'!A:AL,10,FALSE)</f>
        <v>18</v>
      </c>
      <c r="AE45" s="4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19</v>
      </c>
      <c r="AG45" s="4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45</v>
      </c>
      <c r="AI45" s="4">
        <f>VLOOKUP(A45,'SegEnds_NonXtal_Prot#'!A:AL,31,FALSE)-VLOOKUP(A45,'SegEnds_NonXtal_Prot#'!A:AL,28,FALSE)</f>
        <v>58</v>
      </c>
      <c r="AJ45" s="4">
        <f>VLOOKUP(A45,'SegEnds_NonXtal_Prot#'!A:AL,34,FALSE)-VLOOKUP(A45,'SegEnds_NonXtal_Prot#'!A:AL,31,FALSE)</f>
        <v>37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376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08">
        <v>56</v>
      </c>
      <c r="O46" s="87">
        <f>VLOOKUP($B46&amp;"__wt",'SegEnds_Xtal_BW#'!$A:$Z,15,FALSE)</f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INDEX(ICL3_classA!$G$2:$G$39,MATCH(MIN(ABS(AI46-ICL3_classA!$F$2:$F$39)),ABS(AI46-ICL3_classA!$F$2:$F$39),0))</f>
        <v>67</v>
      </c>
      <c r="U46" s="1">
        <f t="array" ref="U46">INDEX(ICL3_classA!$H$2:$H$39,MATCH(MIN(ABS(AI46-ICL3_classA!$F$2:$F$39)),ABS(AI46-ICL3_classA!$F$2:$F$39),0))</f>
        <v>26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18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19</v>
      </c>
      <c r="AG46" s="1" t="e">
        <f>VLOOKUP(A46,'SegEnds_NonXtal_Prot#'!A:AL,28,FALSE)-VLOOKUP(A46,'SegEnds_NonXtal_Prot#'!A:AL,25,FALSE)</f>
        <v>#VALUE!</v>
      </c>
      <c r="AH46" s="1">
        <f>VLOOKUP(A46,'SegEnds_NonXtal_Prot#'!A:AL,28,FALSE)-VLOOKUP(A46,'SegEnds_NonXtal_Prot#'!A:AL,22,FALSE)</f>
        <v>45</v>
      </c>
      <c r="AI46" s="1">
        <f>VLOOKUP(A46,'SegEnds_NonXtal_Prot#'!A:AL,31,FALSE)-VLOOKUP(A46,'SegEnds_NonXtal_Prot#'!A:AL,28,FALSE)</f>
        <v>47</v>
      </c>
      <c r="AJ46" s="1">
        <f>VLOOKUP(A46,'SegEnds_NonXtal_Prot#'!A:AL,34,FALSE)-VLOOKUP(A46,'SegEnds_NonXtal_Prot#'!A:AL,31,FALSE)</f>
        <v>37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377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08"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INDEX(ICL3_classA!$G$2:$G$39,MATCH(MIN(ABS(AI47-ICL3_classA!$F$2:$F$39)),ABS(AI47-ICL3_classA!$F$2:$F$39),0))</f>
        <v>68</v>
      </c>
      <c r="U47" s="1">
        <f t="array" ref="U47">INDEX(ICL3_classA!$H$2:$H$39,MATCH(MIN(ABS(AI47-ICL3_classA!$F$2:$F$39)),ABS(AI47-ICL3_classA!$F$2:$F$39),0))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51</v>
      </c>
      <c r="AJ47" s="1">
        <f>VLOOKUP(A47,'SegEnds_NonXtal_Prot#'!A:AL,34,FALSE)-VLOOKUP(A47,'SegEnds_NonXtal_Prot#'!A:AL,31,FALSE)</f>
        <v>37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378</v>
      </c>
      <c r="B48" s="1" t="str">
        <f>VLOOKUP(A48,Xtal_Templ!A:B,2,FALSE)</f>
        <v>s1pr1_human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63</v>
      </c>
      <c r="I48" s="1">
        <f>VLOOKUP($B48&amp;"__wt",'SegEnds_Xtal_BW#'!$A:$Z,9,FALSE)</f>
        <v>47</v>
      </c>
      <c r="J48" s="1">
        <f>VLOOKUP($B48&amp;"__wt",'SegEnds_Xtal_BW#'!$A:$Z,10,FALSE)</f>
        <v>53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 t="str">
        <f>VLOOKUP($B48&amp;"__wt",'SegEnds_Xtal_BW#'!$A:$Z,17,FALSE)</f>
        <v>-</v>
      </c>
      <c r="R48" s="1" t="str">
        <f>VLOOKUP($B48&amp;"__wt",'SegEnds_Xtal_BW#'!$A:$Z,18,FALSE)</f>
        <v>-</v>
      </c>
      <c r="S48" s="1">
        <f>VLOOKUP($B48&amp;"__wt",'SegEnds_Xtal_BW#'!$A:$Z,19,FALSE)</f>
        <v>36</v>
      </c>
      <c r="T48" s="1">
        <f t="array" ref="T48">INDEX(ICL3_classA!$G$2:$G$39,MATCH(MIN(ABS(AI48-ICL3_classA!$F$2:$F$39)),ABS(AI48-ICL3_classA!$F$2:$F$39),0))</f>
        <v>68</v>
      </c>
      <c r="U48" s="1">
        <f t="array" ref="U48">INDEX(ICL3_classA!$H$2:$H$39,MATCH(MIN(ABS(AI48-ICL3_classA!$F$2:$F$39)),ABS(AI48-ICL3_classA!$F$2:$F$39),0))</f>
        <v>23</v>
      </c>
      <c r="V48" s="1">
        <v>61</v>
      </c>
      <c r="W48" s="131">
        <f>VLOOKUP($B48&amp;"__wt",'SegEnds_Xtal_BW#'!$A:$Z,23,FALSE)</f>
        <v>30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1" t="e">
        <f>VLOOKUP(A48,'SegEnds_NonXtal_Prot#'!A:AL,28,FALSE)-VLOOKUP(A48,'SegEnds_NonXtal_Prot#'!A:AL,25,FALSE)</f>
        <v>#VALUE!</v>
      </c>
      <c r="AH48" s="1">
        <f>VLOOKUP(A48,'SegEnds_NonXtal_Prot#'!A:AL,28,FALSE)-VLOOKUP(A48,'SegEnds_NonXtal_Prot#'!A:AL,22,FALSE)</f>
        <v>45</v>
      </c>
      <c r="AI48" s="1">
        <f>VLOOKUP(A48,'SegEnds_NonXtal_Prot#'!A:AL,31,FALSE)-VLOOKUP(A48,'SegEnds_NonXtal_Prot#'!A:AL,28,FALSE)</f>
        <v>51</v>
      </c>
      <c r="AJ48" s="1">
        <f>VLOOKUP(A48,'SegEnds_NonXtal_Prot#'!A:AL,34,FALSE)-VLOOKUP(A48,'SegEnds_NonXtal_Prot#'!A:AL,31,FALSE)</f>
        <v>38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379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INDEX(ICL3_classA!$G$2:$G$39,MATCH(MIN(ABS(AI49-ICL3_classA!$F$2:$F$39)),ABS(AI49-ICL3_classA!$F$2:$F$39),0))</f>
        <v>74</v>
      </c>
      <c r="U49" s="1">
        <f t="array" ref="U49">INDEX(ICL3_classA!$H$2:$H$39,MATCH(MIN(ABS(AI49-ICL3_classA!$F$2:$F$39)),ABS(AI49-ICL3_classA!$F$2:$F$39),0))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19</v>
      </c>
      <c r="AG49" s="1" t="e">
        <f>VLOOKUP(A49,'SegEnds_NonXtal_Prot#'!A:AL,28,FALSE)-VLOOKUP(A49,'SegEnds_NonXtal_Prot#'!A:AL,25,FALSE)</f>
        <v>#VALUE!</v>
      </c>
      <c r="AH49" s="1">
        <f>VLOOKUP(A49,'SegEnds_NonXtal_Prot#'!A:AL,28,FALSE)-VLOOKUP(A49,'SegEnds_NonXtal_Prot#'!A:AL,22,FALSE)</f>
        <v>45</v>
      </c>
      <c r="AI49" s="1">
        <f>VLOOKUP(A49,'SegEnds_NonXtal_Prot#'!A:AL,31,FALSE)-VLOOKUP(A49,'SegEnds_NonXtal_Prot#'!A:AL,28,FALSE)</f>
        <v>62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128</v>
      </c>
      <c r="B50" s="1" t="str">
        <f>VLOOKUP(A50,Xtal_Templ!A:B,2,FALSE)</f>
        <v>5ht1b_human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INDEX(ICL3_classA!$G$2:$G$39,MATCH(MIN(ABS(AI50-ICL3_classA!$F$2:$F$39)),ABS(AI50-ICL3_classA!$F$2:$F$39),0))</f>
        <v>76</v>
      </c>
      <c r="U50" s="1">
        <f t="array" ref="U50">INDEX(ICL3_classA!$H$2:$H$39,MATCH(MIN(ABS(AI50-ICL3_classA!$F$2:$F$39)),ABS(AI50-ICL3_classA!$F$2:$F$39),0))</f>
        <v>24</v>
      </c>
      <c r="V50" s="1">
        <v>60</v>
      </c>
      <c r="W50" s="1">
        <v>31</v>
      </c>
      <c r="X50" s="124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20</v>
      </c>
      <c r="AH50" s="1">
        <f>VLOOKUP(A50,'SegEnds_NonXtal_Prot#'!A:AL,28,FALSE)-VLOOKUP(A50,'SegEnds_NonXtal_Prot#'!A:AL,22,FALSE)</f>
        <v>46</v>
      </c>
      <c r="AI50" s="1">
        <f>VLOOKUP(A50,'SegEnds_NonXtal_Prot#'!A:AL,31,FALSE)-VLOOKUP(A50,'SegEnds_NonXtal_Prot#'!A:AL,28,FALSE)</f>
        <v>153</v>
      </c>
      <c r="AJ50" s="1">
        <f>VLOOKUP(A50,'SegEnds_NonXtal_Prot#'!A:AL,34,FALSE)-VLOOKUP(A50,'SegEnds_NonXtal_Prot#'!A:AL,31,FALSE)</f>
        <v>37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34</v>
      </c>
      <c r="B51" s="1" t="str">
        <f>VLOOKUP(A51,Xtal_Templ!A:B,2,FALSE)</f>
        <v>5ht1b_human</v>
      </c>
      <c r="C51" s="5">
        <f>VLOOKUP($B51&amp;"__wt",'SegEnds_Xtal_BW#'!$A:$Z,3,FALSE)</f>
        <v>28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INDEX(ICL3_classA!$G$2:$G$39,MATCH(MIN(ABS(AI51-ICL3_classA!$F$2:$F$39)),ABS(AI51-ICL3_classA!$F$2:$F$39),0))</f>
        <v>74</v>
      </c>
      <c r="U51" s="1">
        <f t="array" ref="U51">INDEX(ICL3_classA!$H$2:$H$39,MATCH(MIN(ABS(AI51-ICL3_classA!$F$2:$F$39)),ABS(AI51-ICL3_classA!$F$2:$F$39),0))</f>
        <v>24</v>
      </c>
      <c r="V51" s="1">
        <v>60</v>
      </c>
      <c r="W51" s="1">
        <v>31</v>
      </c>
      <c r="X51" s="12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21</v>
      </c>
      <c r="AH51" s="1">
        <f>VLOOKUP(A51,'SegEnds_NonXtal_Prot#'!A:AL,28,FALSE)-VLOOKUP(A51,'SegEnds_NonXtal_Prot#'!A:AL,22,FALSE)</f>
        <v>46</v>
      </c>
      <c r="AI51" s="1">
        <f>VLOOKUP(A51,'SegEnds_NonXtal_Prot#'!A:AL,31,FALSE)-VLOOKUP(A51,'SegEnds_NonXtal_Prot#'!A:AL,28,FALSE)</f>
        <v>109</v>
      </c>
      <c r="AJ51" s="1">
        <f>VLOOKUP(A51,'SegEnds_NonXtal_Prot#'!A:AL,34,FALSE)-VLOOKUP(A51,'SegEnds_NonXtal_Prot#'!A:AL,31,FALSE)</f>
        <v>37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129</v>
      </c>
      <c r="B52" s="1" t="str">
        <f>VLOOKUP(A52,Xtal_Templ!A:B,2,FALSE)</f>
        <v>5ht1b_human</v>
      </c>
      <c r="C52" s="5">
        <f>VLOOKUP($B52&amp;"__wt",'SegEnds_Xtal_BW#'!$A:$Z,3,FALSE)</f>
        <v>28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INDEX(ICL3_classA!$G$2:$G$39,MATCH(MIN(ABS(AI52-ICL3_classA!$F$2:$F$39)),ABS(AI52-ICL3_classA!$F$2:$F$39),0))</f>
        <v>74</v>
      </c>
      <c r="U52" s="1">
        <f t="array" ref="U52">INDEX(ICL3_classA!$H$2:$H$39,MATCH(MIN(ABS(AI52-ICL3_classA!$F$2:$F$39)),ABS(AI52-ICL3_classA!$F$2:$F$39),0))</f>
        <v>24</v>
      </c>
      <c r="V52" s="1">
        <v>60</v>
      </c>
      <c r="W52" s="1">
        <v>31</v>
      </c>
      <c r="X52" s="12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21</v>
      </c>
      <c r="AH52" s="1">
        <f>VLOOKUP(A52,'SegEnds_NonXtal_Prot#'!A:AL,28,FALSE)-VLOOKUP(A52,'SegEnds_NonXtal_Prot#'!A:AL,22,FALSE)</f>
        <v>46</v>
      </c>
      <c r="AI52" s="1">
        <f>VLOOKUP(A52,'SegEnds_NonXtal_Prot#'!A:AL,31,FALSE)-VLOOKUP(A52,'SegEnds_NonXtal_Prot#'!A:AL,28,FALSE)</f>
        <v>107</v>
      </c>
      <c r="AJ52" s="1">
        <f>VLOOKUP(A52,'SegEnds_NonXtal_Prot#'!A:AL,34,FALSE)-VLOOKUP(A52,'SegEnds_NonXtal_Prot#'!A:AL,31,FALSE)</f>
        <v>37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132</v>
      </c>
      <c r="B53" s="1" t="str">
        <f>VLOOKUP(A53,Xtal_Templ!A:B,2,FALSE)</f>
        <v>5ht2a_human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67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31">
        <v>27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21</v>
      </c>
      <c r="AE53" s="1">
        <f>VLOOKUP(A53,'SegEnds_NonXtal_Prot#'!A:AL,16,FALSE)-VLOOKUP(A53,'SegEnds_NonXtal_Prot#'!A:AL,10,FALSE)</f>
        <v>53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19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92</v>
      </c>
      <c r="AJ53" s="1">
        <f>VLOOKUP(A53,'SegEnds_NonXtal_Prot#'!A:AL,34,FALSE)-VLOOKUP(A53,'SegEnds_NonXtal_Prot#'!A:AL,31,FALSE)</f>
        <v>39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135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INDEX(ICL3_classA!$G$2:$G$39,MATCH(MIN(ABS(AI54-ICL3_classA!$F$2:$F$39)),ABS(AI54-ICL3_classA!$F$2:$F$39),0))</f>
        <v>76</v>
      </c>
      <c r="U54" s="1">
        <f t="array" ref="U54">INDEX(ICL3_classA!$H$2:$H$39,MATCH(MIN(ABS(AI54-ICL3_classA!$F$2:$F$39)),ABS(AI54-ICL3_classA!$F$2:$F$39),0))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21</v>
      </c>
      <c r="AE54" s="1">
        <f>VLOOKUP(A54,'SegEnds_NonXtal_Prot#'!A:AL,16,FALSE)-VLOOKUP(A54,'SegEnds_NonXtal_Prot#'!A:AL,10,FALSE)</f>
        <v>53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46</v>
      </c>
      <c r="AI54" s="1">
        <f>VLOOKUP(A54,'SegEnds_NonXtal_Prot#'!A:AL,31,FALSE)-VLOOKUP(A54,'SegEnds_NonXtal_Prot#'!A:AL,28,FALSE)</f>
        <v>88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157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INDEX(ICL3_classA!$G$2:$G$39,MATCH(MIN(ABS(AI55-ICL3_classA!$F$2:$F$39)),ABS(AI55-ICL3_classA!$F$2:$F$39),0))</f>
        <v>75</v>
      </c>
      <c r="U55" s="1">
        <f t="array" ref="U55">INDEX(ICL3_classA!$H$2:$H$39,MATCH(MIN(ABS(AI55-ICL3_classA!$F$2:$F$39)),ABS(AI55-ICL3_classA!$F$2:$F$39),0))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46</v>
      </c>
      <c r="AI55" s="1">
        <f>VLOOKUP(A55,'SegEnds_NonXtal_Prot#'!A:AL,31,FALSE)-VLOOKUP(A55,'SegEnds_NonXtal_Prot#'!A:AL,28,FALSE)</f>
        <v>175</v>
      </c>
      <c r="AJ55" s="1">
        <f>VLOOKUP(A55,'SegEnds_NonXtal_Prot#'!A:AL,34,FALSE)-VLOOKUP(A55,'SegEnds_NonXtal_Prot#'!A:AL,31,FALSE)</f>
        <v>37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212</v>
      </c>
      <c r="B56" s="1" t="str">
        <f>VLOOKUP(A56,Xtal_Templ!A:B,2,FALSE)</f>
        <v>5ht2a_human</v>
      </c>
      <c r="C56" s="5">
        <f>VLOOKUP($B56&amp;"__wt",'SegEnds_Xtal_BW#'!$A:$Z,3,FALSE)</f>
        <v>27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08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67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INDEX(ICL3_classA!$G$2:$G$39,MATCH(MIN(ABS(AI56-ICL3_classA!$F$2:$F$39)),ABS(AI56-ICL3_classA!$F$2:$F$39),0))</f>
        <v>74</v>
      </c>
      <c r="U56" s="1">
        <f t="array" ref="U56">INDEX(ICL3_classA!$H$2:$H$39,MATCH(MIN(ABS(AI56-ICL3_classA!$F$2:$F$39)),ABS(AI56-ICL3_classA!$F$2:$F$39),0))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60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29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21</v>
      </c>
      <c r="AH56" s="1">
        <f>VLOOKUP(A56,'SegEnds_NonXtal_Prot#'!A:AL,28,FALSE)-VLOOKUP(A56,'SegEnds_NonXtal_Prot#'!A:AL,22,FALSE)</f>
        <v>46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280</v>
      </c>
      <c r="B57" s="1" t="str">
        <f>VLOOKUP(A57,Xtal_Templ!A:B,2,FALSE)</f>
        <v>acm3_rat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7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INDEX(ICL3_classA!$G$2:$G$39,MATCH(MIN(ABS(AI57-ICL3_classA!$F$2:$F$39)),ABS(AI57-ICL3_classA!$F$2:$F$39),0))</f>
        <v>76</v>
      </c>
      <c r="U57" s="1">
        <f t="array" ref="U57">INDEX(ICL3_classA!$H$2:$H$39,MATCH(MIN(ABS(AI57-ICL3_classA!$F$2:$F$39)),ABS(AI57-ICL3_classA!$F$2:$F$39),0))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60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21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46</v>
      </c>
      <c r="AI57" s="1">
        <f>VLOOKUP(A57,'SegEnds_NonXtal_Prot#'!A:AL,31,FALSE)-VLOOKUP(A57,'SegEnds_NonXtal_Prot#'!A:AL,28,FALSE)</f>
        <v>132</v>
      </c>
      <c r="AJ57" s="1">
        <f>VLOOKUP(A57,'SegEnds_NonXtal_Prot#'!A:AL,34,FALSE)-VLOOKUP(A57,'SegEnds_NonXtal_Prot#'!A:AL,31,FALSE)</f>
        <v>37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INDEX(ICL3_classA!$G$2:$G$39,MATCH(MIN(ABS(AI58-ICL3_classA!$F$2:$F$39)),ABS(AI58-ICL3_classA!$F$2:$F$39),0))</f>
        <v>76</v>
      </c>
      <c r="U58" s="1">
        <f t="array" ref="U58">INDEX(ICL3_classA!$H$2:$H$39,MATCH(MIN(ABS(AI58-ICL3_classA!$F$2:$F$39)),ABS(AI58-ICL3_classA!$F$2:$F$39),0))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47</v>
      </c>
      <c r="AI58" s="1">
        <f>VLOOKUP(A58,'SegEnds_NonXtal_Prot#'!A:AL,31,FALSE)-VLOOKUP(A58,'SegEnds_NonXtal_Prot#'!A:AL,28,FALSE)</f>
        <v>112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133</v>
      </c>
      <c r="B59" s="1" t="str">
        <f>VLOOKUP(A59,Xtal_Templ!A:B,2,FALSE)</f>
        <v>5ht2c_human</v>
      </c>
      <c r="C59" s="5">
        <f>VLOOKUP($B59&amp;"__wt",'SegEnds_Xtal_BW#'!$A:$Z,3,FALSE)</f>
        <v>33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67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INDEX(ICL3_classA!$G$2:$G$39,MATCH(MIN(ABS(AI59-ICL3_classA!$F$2:$F$39)),ABS(AI59-ICL3_classA!$F$2:$F$39),0))</f>
        <v>74</v>
      </c>
      <c r="U59" s="1">
        <f t="array" ref="U59">INDEX(ICL3_classA!$H$2:$H$39,MATCH(MIN(ABS(AI59-ICL3_classA!$F$2:$F$39)),ABS(AI59-ICL3_classA!$F$2:$F$39),0))</f>
        <v>24</v>
      </c>
      <c r="V59" s="1">
        <v>61</v>
      </c>
      <c r="W59" s="131">
        <v>27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21</v>
      </c>
      <c r="AE59" s="1">
        <f>VLOOKUP(A59,'SegEnds_NonXtal_Prot#'!A:AL,16,FALSE)-VLOOKUP(A59,'SegEnds_NonXtal_Prot#'!A:AL,10,FALSE)</f>
        <v>53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100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156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INDEX(ICL3_classA!$G$2:$G$39,MATCH(MIN(ABS(AI60-ICL3_classA!$F$2:$F$39)),ABS(AI60-ICL3_classA!$F$2:$F$39),0))</f>
        <v>75</v>
      </c>
      <c r="U60" s="1">
        <f t="array" ref="U60">INDEX(ICL3_classA!$H$2:$H$39,MATCH(MIN(ABS(AI60-ICL3_classA!$F$2:$F$39)),ABS(AI60-ICL3_classA!$F$2:$F$39),0))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199</v>
      </c>
      <c r="AJ60" s="1">
        <f>VLOOKUP(A60,'SegEnds_NonXtal_Prot#'!A:AL,34,FALSE)-VLOOKUP(A60,'SegEnds_NonXtal_Prot#'!A:AL,31,FALSE)</f>
        <v>37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2" t="s">
        <v>189</v>
      </c>
      <c r="B61" s="12" t="str">
        <f>VLOOKUP(A61,Xtal_Templ!A:B,2,FALSE)</f>
        <v>ccr9_human</v>
      </c>
      <c r="C61" s="13">
        <f>VLOOKUP($B61&amp;"__wt",'SegEnds_Xtal_BW#'!$A:$Z,3,FALSE)</f>
        <v>27</v>
      </c>
      <c r="D61" s="12">
        <f>VLOOKUP($B61&amp;"__wt",'SegEnds_Xtal_BW#'!$A:$Z,4,FALSE)</f>
        <v>60</v>
      </c>
      <c r="E61" s="12">
        <f>VLOOKUP($B61&amp;"__wt",'SegEnds_Xtal_BW#'!$A:$Z,5,FALSE)</f>
        <v>48</v>
      </c>
      <c r="F61" s="12">
        <f>VLOOKUP($B61&amp;"__wt",'SegEnds_Xtal_BW#'!$A:$Z,6,FALSE)</f>
        <v>51</v>
      </c>
      <c r="G61" s="12">
        <v>37</v>
      </c>
      <c r="H61" s="12">
        <v>66</v>
      </c>
      <c r="I61" s="12">
        <f>VLOOKUP($B61&amp;"__wt",'SegEnds_Xtal_BW#'!$A:$Z,9,FALSE)</f>
        <v>49</v>
      </c>
      <c r="J61" s="12">
        <f>VLOOKUP($B61&amp;"__wt",'SegEnds_Xtal_BW#'!$A:$Z,10,FALSE)</f>
        <v>52</v>
      </c>
      <c r="K61" s="12">
        <v>24</v>
      </c>
      <c r="L61" s="12">
        <f>VLOOKUP($B61&amp;"__wt",'SegEnds_Xtal_BW#'!$A:$Z,12,FALSE)</f>
        <v>56</v>
      </c>
      <c r="M61" s="12">
        <f>VLOOKUP($B61&amp;"__wt",'SegEnds_Xtal_BW#'!$A:$Z,13,FALSE)</f>
        <v>50</v>
      </c>
      <c r="N61" s="12">
        <v>58</v>
      </c>
      <c r="O61" s="87">
        <v>38</v>
      </c>
      <c r="P61" s="12">
        <f>VLOOKUP($B61&amp;"__wt",'SegEnds_Xtal_BW#'!$A:$Z,16,FALSE)</f>
        <v>64</v>
      </c>
      <c r="Q61" s="12">
        <f>VLOOKUP($B61&amp;"__wt",'SegEnds_Xtal_BW#'!$A:$Z,17,FALSE)</f>
        <v>50</v>
      </c>
      <c r="R61" s="12">
        <f>VLOOKUP($B61&amp;"__wt",'SegEnds_Xtal_BW#'!$A:$Z,18,FALSE)</f>
        <v>52</v>
      </c>
      <c r="S61" s="12">
        <f>VLOOKUP($B61&amp;"__wt",'SegEnds_Xtal_BW#'!$A:$Z,19,FALSE)</f>
        <v>33</v>
      </c>
      <c r="T61" s="12">
        <f t="array" ref="T61">INDEX(ICL3_classA!$G$2:$G$39,MATCH(MIN(ABS(AI61-ICL3_classA!$F$2:$F$39)),ABS(AI61-ICL3_classA!$F$2:$F$39),0))</f>
        <v>68</v>
      </c>
      <c r="U61" s="12">
        <f t="array" ref="U61">INDEX(ICL3_classA!$H$2:$H$39,MATCH(MIN(ABS(AI61-ICL3_classA!$F$2:$F$39)),ABS(AI61-ICL3_classA!$F$2:$F$39),0))</f>
        <v>30</v>
      </c>
      <c r="V61" s="12">
        <v>61</v>
      </c>
      <c r="W61" s="131">
        <f>VLOOKUP($B61&amp;"__wt",'SegEnds_Xtal_BW#'!$A:$Z,23,FALSE)</f>
        <v>24</v>
      </c>
      <c r="X61" s="12">
        <f>VLOOKUP($B61&amp;"__wt",'SegEnds_Xtal_BW#'!$A:$Z,24,FALSE)</f>
        <v>56</v>
      </c>
      <c r="Y61" s="12">
        <f>VLOOKUP($B61&amp;"__wt",'SegEnds_Xtal_BW#'!$A:$Z,25,FALSE)</f>
        <v>47</v>
      </c>
      <c r="Z61" s="12">
        <f>VLOOKUP($B61&amp;"__wt",'SegEnds_Xtal_BW#'!$A:$Z,26,FALSE)</f>
        <v>67</v>
      </c>
      <c r="AA61" s="36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2">
        <f>VLOOKUP(A61,'SegEnds_NonXtal_Prot#'!A:AL,10,FALSE)-VLOOKUP(A61,'SegEnds_NonXtal_Prot#'!A:AL,7,FALSE)</f>
        <v>15</v>
      </c>
      <c r="AD61" s="12">
        <f>VLOOKUP(A61,'SegEnds_NonXtal_Prot#'!A:AL,13,FALSE)-VLOOKUP(A61,'SegEnds_NonXtal_Prot#'!A:AL,10,FALSE)</f>
        <v>18</v>
      </c>
      <c r="AE61" s="12">
        <f>VLOOKUP(A61,'SegEnds_NonXtal_Prot#'!A:AL,16,FALSE)-VLOOKUP(A61,'SegEnds_NonXtal_Prot#'!A:AL,10,FALSE)</f>
        <v>50</v>
      </c>
      <c r="AF61" s="1">
        <f>VLOOKUP(A61,'SegEnds_NonXtal_Prot#'!A:AL,22,FALSE)-VLOOKUP(A61,'SegEnds_NonXtal_Prot#'!A:AL,19,FALSE)</f>
        <v>22</v>
      </c>
      <c r="AG61" s="12">
        <f>VLOOKUP(A61,'SegEnds_NonXtal_Prot#'!A:AL,28,FALSE)-VLOOKUP(A61,'SegEnds_NonXtal_Prot#'!A:AL,25,FALSE)</f>
        <v>23</v>
      </c>
      <c r="AH61" s="1">
        <f>VLOOKUP(A61,'SegEnds_NonXtal_Prot#'!A:AL,28,FALSE)-VLOOKUP(A61,'SegEnds_NonXtal_Prot#'!A:AL,22,FALSE)</f>
        <v>47</v>
      </c>
      <c r="AI61" s="12">
        <f>VLOOKUP(A61,'SegEnds_NonXtal_Prot#'!A:AL,31,FALSE)-VLOOKUP(A61,'SegEnds_NonXtal_Prot#'!A:AL,28,FALSE)</f>
        <v>43</v>
      </c>
      <c r="AJ61" s="12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2" t="str">
        <f>IF(ISERROR(MATCH(A61,'SegEnds_Xtal_Prot#'!B:B, 0)), "NoXtal", "Xtal")</f>
        <v>NoXtal</v>
      </c>
    </row>
    <row r="62" spans="1:38" x14ac:dyDescent="0.2">
      <c r="A62" s="1" t="s">
        <v>203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INDEX(ICL3_classA!$G$2:$G$39,MATCH(MIN(ABS(AI62-ICL3_classA!$F$2:$F$39)),ABS(AI62-ICL3_classA!$F$2:$F$39),0))</f>
        <v>67</v>
      </c>
      <c r="U62" s="1">
        <f t="array" ref="U62">INDEX(ICL3_classA!$H$2:$H$39,MATCH(MIN(ABS(AI62-ICL3_classA!$F$2:$F$39)),ABS(AI62-ICL3_classA!$F$2:$F$39),0))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14</v>
      </c>
      <c r="AD62" s="1">
        <f>VLOOKUP(A62,'SegEnds_NonXtal_Prot#'!A:AL,13,FALSE)-VLOOKUP(A62,'SegEnds_NonXtal_Prot#'!A:AL,10,FALSE)</f>
        <v>28</v>
      </c>
      <c r="AE62" s="1">
        <f>VLOOKUP(A62,'SegEnds_NonXtal_Prot#'!A:AL,16,FALSE)-VLOOKUP(A62,'SegEnds_NonXtal_Prot#'!A:AL,10,FALSE)</f>
        <v>59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24</v>
      </c>
      <c r="AH62" s="1">
        <f>VLOOKUP(A62,'SegEnds_NonXtal_Prot#'!A:AL,28,FALSE)-VLOOKUP(A62,'SegEnds_NonXtal_Prot#'!A:AL,22,FALSE)</f>
        <v>47</v>
      </c>
      <c r="AI62" s="1">
        <f>VLOOKUP(A62,'SegEnds_NonXtal_Prot#'!A:AL,31,FALSE)-VLOOKUP(A62,'SegEnds_NonXtal_Prot#'!A:AL,28,FALSE)</f>
        <v>46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218</v>
      </c>
      <c r="B63" s="1" t="str">
        <f>VLOOKUP(A63,Xtal_Templ!A:B,2,FALSE)</f>
        <v>fpr2_human</v>
      </c>
      <c r="C63" s="5">
        <f>VLOOKUP($B63&amp;"__wt",'SegEnds_Xtal_BW#'!$A:$Z,3,FALSE)</f>
        <v>25</v>
      </c>
      <c r="D63" s="1">
        <f>VLOOKUP($B63&amp;"__wt",'SegEnds_Xtal_BW#'!$A:$Z,4,FALSE)</f>
        <v>61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v>63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24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56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23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58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33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17</v>
      </c>
      <c r="AE63" s="1">
        <f>VLOOKUP(A63,'SegEnds_NonXtal_Prot#'!A:AL,16,FALSE)-VLOOKUP(A63,'SegEnds_NonXtal_Prot#'!A:AL,10,FALSE)</f>
        <v>49</v>
      </c>
      <c r="AF63" s="1" t="e">
        <f>VLOOKUP(A63,'SegEnds_NonXtal_Prot#'!A:AL,22,FALSE)-VLOOKUP(A63,'SegEnds_NonXtal_Prot#'!A:AL,19,FALSE)</f>
        <v>#VALUE!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47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45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4" t="s">
        <v>241</v>
      </c>
      <c r="B64" s="4" t="str">
        <f>VLOOKUP(A64,Xtal_Templ!A:B,2,FALSE)</f>
        <v>ox2r_human</v>
      </c>
      <c r="C64" s="5">
        <f>VLOOKUP($B64&amp;"__wt",'SegEnds_Xtal_BW#'!$A:$Z,3,FALSE)</f>
        <v>31</v>
      </c>
      <c r="D64" s="4">
        <f>VLOOKUP($B64&amp;"__wt",'SegEnds_Xtal_BW#'!$A:$Z,4,FALSE)</f>
        <v>60</v>
      </c>
      <c r="E64" s="4">
        <f>VLOOKUP($B64&amp;"__wt",'SegEnds_Xtal_BW#'!$A:$Z,5,FALSE)</f>
        <v>48</v>
      </c>
      <c r="F64" s="4">
        <f>VLOOKUP($B64&amp;"__wt",'SegEnds_Xtal_BW#'!$A:$Z,6,FALSE)</f>
        <v>51</v>
      </c>
      <c r="G64" s="4">
        <v>37</v>
      </c>
      <c r="H64" s="12">
        <f>VLOOKUP($B64&amp;"__wt",'SegEnds_Xtal_BW#'!$A:$Z,8,FALSE)</f>
        <v>68</v>
      </c>
      <c r="I64" s="4">
        <f>VLOOKUP($B64&amp;"__wt",'SegEnds_Xtal_BW#'!$A:$Z,9,FALSE)</f>
        <v>49</v>
      </c>
      <c r="J64" s="4">
        <f>VLOOKUP($B64&amp;"__wt",'SegEnds_Xtal_BW#'!$A:$Z,10,FALSE)</f>
        <v>52</v>
      </c>
      <c r="K64" s="11">
        <v>18</v>
      </c>
      <c r="L64" s="4">
        <f>VLOOKUP($B64&amp;"__wt",'SegEnds_Xtal_BW#'!$A:$Z,12,FALSE)</f>
        <v>56</v>
      </c>
      <c r="M64" s="4">
        <f>VLOOKUP($B64&amp;"__wt",'SegEnds_Xtal_BW#'!$A:$Z,13,FALSE)</f>
        <v>50</v>
      </c>
      <c r="N64" s="11">
        <v>53</v>
      </c>
      <c r="O64" s="87">
        <f>VLOOKUP($B64&amp;"__wt",'SegEnds_Xtal_BW#'!$A:$Z,15,FALSE)</f>
        <v>38</v>
      </c>
      <c r="P64" s="4">
        <f>VLOOKUP($B64&amp;"__wt",'SegEnds_Xtal_BW#'!$A:$Z,16,FALSE)</f>
        <v>64</v>
      </c>
      <c r="Q64" s="4">
        <f>VLOOKUP($B64&amp;"__wt",'SegEnds_Xtal_BW#'!$A:$Z,17,FALSE)</f>
        <v>50</v>
      </c>
      <c r="R64" s="4">
        <f>VLOOKUP($B64&amp;"__wt",'SegEnds_Xtal_BW#'!$A:$Z,18,FALSE)</f>
        <v>52</v>
      </c>
      <c r="S64" s="4">
        <f>VLOOKUP($B64&amp;"__wt",'SegEnds_Xtal_BW#'!$A:$Z,19,FALSE)</f>
        <v>33</v>
      </c>
      <c r="T64" s="4">
        <f t="array" ref="T64">INDEX(ICL3_classA!$G$2:$G$39,MATCH(MIN(ABS(AI64-ICL3_classA!$F$2:$F$39)),ABS(AI64-ICL3_classA!$F$2:$F$39),0))</f>
        <v>73</v>
      </c>
      <c r="U64" s="4">
        <f t="array" ref="U64">INDEX(ICL3_classA!$H$2:$H$39,MATCH(MIN(ABS(AI64-ICL3_classA!$F$2:$F$39)),ABS(AI64-ICL3_classA!$F$2:$F$39),0))</f>
        <v>22</v>
      </c>
      <c r="V64" s="4">
        <v>61</v>
      </c>
      <c r="W64" s="4">
        <v>31</v>
      </c>
      <c r="X64" s="4">
        <f>VLOOKUP($B64&amp;"__wt",'SegEnds_Xtal_BW#'!$A:$Z,24,FALSE)</f>
        <v>56</v>
      </c>
      <c r="Y64" s="4">
        <f>VLOOKUP($B64&amp;"__wt",'SegEnds_Xtal_BW#'!$A:$Z,25,FALSE)</f>
        <v>47</v>
      </c>
      <c r="Z64" s="4">
        <f>VLOOKUP($B64&amp;"__wt",'SegEnds_Xtal_BW#'!$A:$Z,26,FALSE)</f>
        <v>63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4">
        <f>VLOOKUP(A64,'SegEnds_NonXtal_Prot#'!A:AL,10,FALSE)-VLOOKUP(A64,'SegEnds_NonXtal_Prot#'!A:AL,7,FALSE)</f>
        <v>15</v>
      </c>
      <c r="AD64" s="4">
        <f>VLOOKUP(A64,'SegEnds_NonXtal_Prot#'!A:AL,13,FALSE)-VLOOKUP(A64,'SegEnds_NonXtal_Prot#'!A:AL,10,FALSE)</f>
        <v>20</v>
      </c>
      <c r="AE64" s="4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18</v>
      </c>
      <c r="AG64" s="4">
        <f>VLOOKUP(A64,'SegEnds_NonXtal_Prot#'!A:AL,28,FALSE)-VLOOKUP(A64,'SegEnds_NonXtal_Prot#'!A:AL,25,FALSE)</f>
        <v>25</v>
      </c>
      <c r="AH64" s="1">
        <f>VLOOKUP(A64,'SegEnds_NonXtal_Prot#'!A:AL,28,FALSE)-VLOOKUP(A64,'SegEnds_NonXtal_Prot#'!A:AL,22,FALSE)</f>
        <v>47</v>
      </c>
      <c r="AI64" s="4">
        <f>VLOOKUP(A64,'SegEnds_NonXtal_Prot#'!A:AL,31,FALSE)-VLOOKUP(A64,'SegEnds_NonXtal_Prot#'!A:AL,28,FALSE)</f>
        <v>56</v>
      </c>
      <c r="AJ64" s="4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260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24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32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49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47</v>
      </c>
      <c r="AI65" s="1">
        <f>VLOOKUP(A65,'SegEnds_NonXtal_Prot#'!A:AL,31,FALSE)-VLOOKUP(A65,'SegEnds_NonXtal_Prot#'!A:AL,28,FALSE)</f>
        <v>48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263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15">
        <v>35</v>
      </c>
      <c r="T66" s="1">
        <f t="array" ref="T66">INDEX(ICL3_classA!$G$2:$G$39,MATCH(MIN(ABS(AI66-ICL3_classA!$F$2:$F$39)),ABS(AI66-ICL3_classA!$F$2:$F$39),0))</f>
        <v>76</v>
      </c>
      <c r="U66" s="1">
        <f t="array" ref="U66">INDEX(ICL3_classA!$H$2:$H$39,MATCH(MIN(ABS(AI66-ICL3_classA!$F$2:$F$39)),ABS(AI66-ICL3_classA!$F$2:$F$39),0))</f>
        <v>24</v>
      </c>
      <c r="V66" s="1">
        <v>58</v>
      </c>
      <c r="W66" s="1">
        <v>35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26</v>
      </c>
      <c r="AC66" s="1" t="e">
        <f>VLOOKUP(A66,'SegEnds_NonXtal_Prot#'!A:AL,10,FALSE)-VLOOKUP(A66,'SegEnds_NonXtal_Prot#'!A:AL,7,FALSE)</f>
        <v>#VALUE!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55</v>
      </c>
      <c r="AF66" s="1" t="e">
        <f>VLOOKUP(A66,'SegEnds_NonXtal_Prot#'!A:AL,22,FALSE)-VLOOKUP(A66,'SegEnds_NonXtal_Prot#'!A:AL,19,FALSE)</f>
        <v>#VALUE!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72</v>
      </c>
      <c r="AJ66" s="1">
        <f>VLOOKUP(A66,'SegEnds_NonXtal_Prot#'!A:AL,34,FALSE)-VLOOKUP(A66,'SegEnds_NonXtal_Prot#'!A:AL,31,FALSE)</f>
        <v>31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282</v>
      </c>
      <c r="B67" s="1" t="str">
        <f>VLOOKUP(A67,Xtal_Templ!A:B,2,FALSE)</f>
        <v>agtr1_human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INDEX(ICL3_classA!$G$2:$G$39,MATCH(MIN(ABS(AI67-ICL3_classA!$F$2:$F$39)),ABS(AI67-ICL3_classA!$F$2:$F$39),0))</f>
        <v>67</v>
      </c>
      <c r="U67" s="1">
        <f t="array" ref="U67">INDEX(ICL3_classA!$H$2:$H$39,MATCH(MIN(ABS(AI67-ICL3_classA!$F$2:$F$39)),ABS(AI67-ICL3_classA!$F$2:$F$39),0))</f>
        <v>28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61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59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24</v>
      </c>
      <c r="AH67" s="1">
        <f>VLOOKUP(A67,'SegEnds_NonXtal_Prot#'!A:AL,28,FALSE)-VLOOKUP(A67,'SegEnds_NonXtal_Prot#'!A:AL,22,FALSE)</f>
        <v>47</v>
      </c>
      <c r="AI67" s="1">
        <f>VLOOKUP(A67,'SegEnds_NonXtal_Prot#'!A:AL,31,FALSE)-VLOOKUP(A67,'SegEnds_NonXtal_Prot#'!A:AL,28,FALSE)</f>
        <v>45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283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INDEX(ICL3_classA!$G$2:$G$39,MATCH(MIN(ABS(AI68-ICL3_classA!$F$2:$F$39)),ABS(AI68-ICL3_classA!$F$2:$F$39),0))</f>
        <v>67</v>
      </c>
      <c r="U68" s="1">
        <f t="array" ref="U68">INDEX(ICL3_classA!$H$2:$H$39,MATCH(MIN(ABS(AI68-ICL3_classA!$F$2:$F$39)),ABS(AI68-ICL3_classA!$F$2:$F$39),0))</f>
        <v>28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45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290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INDEX(ICL3_classA!$G$2:$G$39,MATCH(MIN(ABS(AI69-ICL3_classA!$F$2:$F$39)),ABS(AI69-ICL3_classA!$F$2:$F$39),0))</f>
        <v>67</v>
      </c>
      <c r="U69" s="1">
        <f t="array" ref="U69">INDEX(ICL3_classA!$H$2:$H$39,MATCH(MIN(ABS(AI69-ICL3_classA!$F$2:$F$39)),ABS(AI69-ICL3_classA!$F$2:$F$39),0))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14</v>
      </c>
      <c r="AD69" s="1">
        <f>VLOOKUP(A69,'SegEnds_NonXtal_Prot#'!A:AL,13,FALSE)-VLOOKUP(A69,'SegEnds_NonXtal_Prot#'!A:AL,10,FALSE)</f>
        <v>28</v>
      </c>
      <c r="AE69" s="1">
        <f>VLOOKUP(A69,'SegEnds_NonXtal_Prot#'!A:AL,16,FALSE)-VLOOKUP(A69,'SegEnds_NonXtal_Prot#'!A:AL,10,FALSE)</f>
        <v>59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24</v>
      </c>
      <c r="AH69" s="1">
        <f>VLOOKUP(A69,'SegEnds_NonXtal_Prot#'!A:AL,28,FALSE)-VLOOKUP(A69,'SegEnds_NonXtal_Prot#'!A:AL,22,FALSE)</f>
        <v>47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292</v>
      </c>
      <c r="B70" s="1" t="str">
        <f>VLOOKUP(A70,Xtal_Templ!A:B,2,FALSE)</f>
        <v>pd2r2_human</v>
      </c>
      <c r="C70" s="5">
        <f>VLOOKUP($B70&amp;"__wt",'SegEnds_Xtal_BW#'!$A:$Z,3,FALSE)</f>
        <v>32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INDEX(ICL3_classA!$G$2:$G$39,MATCH(MIN(ABS(AI70-ICL3_classA!$F$2:$F$39)),ABS(AI70-ICL3_classA!$F$2:$F$39),0))</f>
        <v>67</v>
      </c>
      <c r="U70" s="1">
        <f t="array" ref="U70">INDEX(ICL3_classA!$H$2:$H$39,MATCH(MIN(ABS(AI70-ICL3_classA!$F$2:$F$39)),ABS(AI70-ICL3_classA!$F$2:$F$39),0))</f>
        <v>26</v>
      </c>
      <c r="V70" s="1">
        <v>64</v>
      </c>
      <c r="W70" s="1">
        <v>24</v>
      </c>
      <c r="X70" s="108">
        <v>56</v>
      </c>
      <c r="Y70" s="1">
        <f>VLOOKUP($B70&amp;"__wt",'SegEnds_Xtal_BW#'!$A:$Z,25,FALSE)</f>
        <v>47</v>
      </c>
      <c r="Z70" s="1">
        <f>VLOOKUP($B70&amp;"__wt",'SegEnds_Xtal_BW#'!$A:$Z,26,FALSE)</f>
        <v>64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30</v>
      </c>
      <c r="AC70" s="1">
        <f>VLOOKUP(A70,'SegEnds_NonXtal_Prot#'!A:AL,10,FALSE)-VLOOKUP(A70,'SegEnds_NonXtal_Prot#'!A:AL,7,FALSE)</f>
        <v>17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310</v>
      </c>
      <c r="B71" s="1" t="str">
        <f>VLOOKUP(A71,Xtal_Templ!A:B,2,FALSE)</f>
        <v>mtr1a_human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INDEX(ICL3_classA!$G$2:$G$39,MATCH(MIN(ABS(AI71-ICL3_classA!$F$2:$F$39)),ABS(AI71-ICL3_classA!$F$2:$F$39),0))</f>
        <v>72</v>
      </c>
      <c r="U71" s="1">
        <f t="array" ref="U71">INDEX(ICL3_classA!$H$2:$H$39,MATCH(MIN(ABS(AI71-ICL3_classA!$F$2:$F$39)),ABS(AI71-ICL3_classA!$F$2:$F$39),0))</f>
        <v>24</v>
      </c>
      <c r="V71" s="1">
        <v>61</v>
      </c>
      <c r="W71" s="131">
        <f>VLOOKUP($B71&amp;"__wt",'SegEnds_Xtal_BW#'!$A:$Z,23,FALSE)</f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22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54</v>
      </c>
      <c r="AJ71" s="1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311</v>
      </c>
      <c r="B72" s="1" t="str">
        <f>VLOOKUP(A72,Xtal_Templ!A:B,2,FALSE)</f>
        <v>mtr1b_human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INDEX(ICL3_classA!$G$2:$G$39,MATCH(MIN(ABS(AI72-ICL3_classA!$F$2:$F$39)),ABS(AI72-ICL3_classA!$F$2:$F$39),0))</f>
        <v>72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31">
        <f>VLOOKUP($B72&amp;"__wt",'SegEnds_Xtal_BW#'!$A:$Z,23,FALSE)</f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54</v>
      </c>
      <c r="AJ72" s="1">
        <f>VLOOKUP(A72,'SegEnds_NonXtal_Prot#'!A:AL,34,FALSE)-VLOOKUP(A72,'SegEnds_NonXtal_Prot#'!A:AL,31,FALSE)</f>
        <v>39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312</v>
      </c>
      <c r="B73" s="1" t="str">
        <f>VLOOKUP(A73,Xtal_Templ!A:B,2,FALSE)</f>
        <v>mtr1a_human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INDEX(ICL3_classA!$G$2:$G$39,MATCH(MIN(ABS(AI73-ICL3_classA!$F$2:$F$39)),ABS(AI73-ICL3_classA!$F$2:$F$39),0))</f>
        <v>72</v>
      </c>
      <c r="U73" s="1">
        <f t="array" ref="U73">INDEX(ICL3_classA!$H$2:$H$39,MATCH(MIN(ABS(AI73-ICL3_classA!$F$2:$F$39)),ABS(AI73-ICL3_classA!$F$2:$F$39),0))</f>
        <v>23</v>
      </c>
      <c r="V73" s="1">
        <v>61</v>
      </c>
      <c r="W73" s="131">
        <f>VLOOKUP($B73&amp;"__wt",'SegEnds_Xtal_BW#'!$A:$Z,23,FALSE)</f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63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47</v>
      </c>
      <c r="AI73" s="1">
        <f>VLOOKUP(A73,'SegEnds_NonXtal_Prot#'!A:AL,31,FALSE)-VLOOKUP(A73,'SegEnds_NonXtal_Prot#'!A:AL,28,FALSE)</f>
        <v>52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341</v>
      </c>
      <c r="B74" s="1" t="str">
        <f>VLOOKUP(A74,Xtal_Templ!A:B,2,FALSE)</f>
        <v>pd2r2_human</v>
      </c>
      <c r="C74" s="5">
        <f>VLOOKUP($B74&amp;"__wt",'SegEnds_Xtal_BW#'!$A:$Z,3,FALSE)</f>
        <v>32</v>
      </c>
      <c r="D74" s="1">
        <f>VLOOKUP($B74&amp;"__wt",'SegEnds_Xtal_BW#'!$A:$Z,4,FALSE)</f>
        <v>60</v>
      </c>
      <c r="E74" s="1" t="str">
        <f>VLOOKUP($B74&amp;"__wt",'SegEnds_Xtal_BW#'!$A:$Z,5,FALSE)</f>
        <v>-</v>
      </c>
      <c r="F74" s="1" t="str">
        <f>VLOOKUP($B74&amp;"__wt",'SegEnds_Xtal_BW#'!$A:$Z,6,FALSE)</f>
        <v>-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26</v>
      </c>
      <c r="T74" s="1">
        <f t="array" ref="T74">INDEX(ICL3_classA!$G$2:$G$39,MATCH(MIN(ABS(AI74-ICL3_classA!$F$2:$F$39)),ABS(AI74-ICL3_classA!$F$2:$F$39),0))</f>
        <v>67</v>
      </c>
      <c r="U74" s="1">
        <f t="array" ref="U74">INDEX(ICL3_classA!$H$2:$H$39,MATCH(MIN(ABS(AI74-ICL3_classA!$F$2:$F$39)),ABS(AI74-ICL3_classA!$F$2:$F$39),0))</f>
        <v>26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64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27</v>
      </c>
      <c r="AH74" s="1">
        <f>VLOOKUP(A74,'SegEnds_NonXtal_Prot#'!A:AL,28,FALSE)-VLOOKUP(A74,'SegEnds_NonXtal_Prot#'!A:AL,22,FALSE)</f>
        <v>47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42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394</v>
      </c>
      <c r="B75" s="1" t="str">
        <f>VLOOKUP(A75,Xtal_Templ!A:B,2,FALSE)</f>
        <v>aa2ar_human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INDEX(ICL3_classA!$G$2:$G$39,MATCH(MIN(ABS(AI75-ICL3_classA!$F$2:$F$39)),ABS(AI75-ICL3_classA!$F$2:$F$39),0))</f>
        <v>67</v>
      </c>
      <c r="U75" s="1">
        <f t="array" ref="U75">INDEX(ICL3_classA!$H$2:$H$39,MATCH(MIN(ABS(AI75-ICL3_classA!$F$2:$F$39)),ABS(AI75-ICL3_classA!$F$2:$F$39),0))</f>
        <v>26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14</v>
      </c>
      <c r="AD75" s="1">
        <f>VLOOKUP(A75,'SegEnds_NonXtal_Prot#'!A:AL,13,FALSE)-VLOOKUP(A75,'SegEnds_NonXtal_Prot#'!A:AL,10,FALSE)</f>
        <v>28</v>
      </c>
      <c r="AE75" s="1">
        <f>VLOOKUP(A75,'SegEnds_NonXtal_Prot#'!A:AL,16,FALSE)-VLOOKUP(A75,'SegEnds_NonXtal_Prot#'!A:AL,10,FALSE)</f>
        <v>59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24</v>
      </c>
      <c r="AH75" s="1">
        <f>VLOOKUP(A75,'SegEnds_NonXtal_Prot#'!A:AL,28,FALSE)-VLOOKUP(A75,'SegEnds_NonXtal_Prot#'!A:AL,22,FALSE)</f>
        <v>47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211</v>
      </c>
      <c r="B76" s="1" t="str">
        <f>VLOOKUP(A76,Xtal_Templ!A:B,2,FALSE)</f>
        <v>ccr5_human</v>
      </c>
      <c r="C76" s="5">
        <f>VLOOKUP($B76&amp;"__wt",'SegEnds_Xtal_BW#'!$A:$Z,3,FALSE)</f>
        <v>24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INDEX(ICL3_classA!$G$2:$G$39,MATCH(MIN(ABS(AI76-ICL3_classA!$F$2:$F$39)),ABS(AI76-ICL3_classA!$F$2:$F$39),0))</f>
        <v>75</v>
      </c>
      <c r="U76" s="1">
        <f t="array" ref="U76">INDEX(ICL3_classA!$H$2:$H$39,MATCH(MIN(ABS(AI76-ICL3_classA!$F$2:$F$39)),ABS(AI76-ICL3_classA!$F$2:$F$39),0))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22</v>
      </c>
      <c r="AH76" s="1">
        <f>VLOOKUP(A76,'SegEnds_NonXtal_Prot#'!A:AL,28,FALSE)-VLOOKUP(A76,'SegEnds_NonXtal_Prot#'!A:AL,22,FALSE)</f>
        <v>48</v>
      </c>
      <c r="AI76" s="1">
        <f>VLOOKUP(A76,'SegEnds_NonXtal_Prot#'!A:AL,31,FALSE)-VLOOKUP(A76,'SegEnds_NonXtal_Prot#'!A:AL,28,FALSE)</f>
        <v>210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223</v>
      </c>
      <c r="B77" s="1" t="str">
        <f>VLOOKUP(A77,Xtal_Templ!A:B,2,FALSE)</f>
        <v>fpr2_human</v>
      </c>
      <c r="C77" s="5">
        <f>VLOOKUP($B77&amp;"__wt",'SegEnds_Xtal_BW#'!$A:$Z,3,FALSE)</f>
        <v>25</v>
      </c>
      <c r="D77" s="1">
        <f>VLOOKUP($B77&amp;"__wt",'SegEnds_Xtal_BW#'!$A:$Z,4,FALSE)</f>
        <v>61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30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48</v>
      </c>
      <c r="AI77" s="1">
        <f>VLOOKUP(A77,'SegEnds_NonXtal_Prot#'!A:AL,31,FALSE)-VLOOKUP(A77,'SegEnds_NonXtal_Prot#'!A:AL,28,FALSE)</f>
        <v>48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226</v>
      </c>
      <c r="B78" s="1" t="str">
        <f>VLOOKUP(A78,Xtal_Templ!A:B,2,FALSE)</f>
        <v>5ht1b_human</v>
      </c>
      <c r="C78" s="5">
        <f>VLOOKUP($B78&amp;"__wt",'SegEnds_Xtal_BW#'!$A:$Z,3,FALSE)</f>
        <v>28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INDEX(ICL3_classA!$G$2:$G$39,MATCH(MIN(ABS(AI78-ICL3_classA!$F$2:$F$39)),ABS(AI78-ICL3_classA!$F$2:$F$39),0))</f>
        <v>76</v>
      </c>
      <c r="U78" s="1">
        <f t="array" ref="U78">INDEX(ICL3_classA!$H$2:$H$39,MATCH(MIN(ABS(AI78-ICL3_classA!$F$2:$F$39)),ABS(AI78-ICL3_classA!$F$2:$F$39),0))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22</v>
      </c>
      <c r="AH78" s="1">
        <f>VLOOKUP(A78,'SegEnds_NonXtal_Prot#'!A:AL,28,FALSE)-VLOOKUP(A78,'SegEnds_NonXtal_Prot#'!A:AL,22,FALSE)</f>
        <v>48</v>
      </c>
      <c r="AI78" s="1">
        <f>VLOOKUP(A78,'SegEnds_NonXtal_Prot#'!A:AL,31,FALSE)-VLOOKUP(A78,'SegEnds_NonXtal_Prot#'!A:AL,28,FALSE)</f>
        <v>85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239</v>
      </c>
      <c r="B79" s="1" t="str">
        <f>VLOOKUP(A79,Xtal_Templ!A:B,2,FALSE)</f>
        <v>cltr2_human</v>
      </c>
      <c r="C79" s="5">
        <f>VLOOKUP($B79&amp;"__wt",'SegEnds_Xtal_BW#'!$A:$Z,3,FALSE)</f>
        <v>25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08">
        <v>31</v>
      </c>
      <c r="T79" s="1">
        <f t="array" ref="T79">INDEX(ICL3_classA!$G$2:$G$39,MATCH(MIN(ABS(AI79-ICL3_classA!$F$2:$F$39)),ABS(AI79-ICL3_classA!$F$2:$F$39),0))</f>
        <v>67</v>
      </c>
      <c r="U79" s="1">
        <f t="array" ref="U79">INDEX(ICL3_classA!$H$2:$H$39,MATCH(MIN(ABS(AI79-ICL3_classA!$F$2:$F$39)),ABS(AI79-ICL3_classA!$F$2:$F$39),0))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23</v>
      </c>
      <c r="AH79" s="1">
        <f>VLOOKUP(A79,'SegEnds_NonXtal_Prot#'!A:AL,28,FALSE)-VLOOKUP(A79,'SegEnds_NonXtal_Prot#'!A:AL,22,FALSE)</f>
        <v>48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243</v>
      </c>
      <c r="B80" s="1" t="str">
        <f>VLOOKUP(A80,Xtal_Templ!A:B,2,FALSE)</f>
        <v>gpr52_human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37</v>
      </c>
      <c r="H80" s="108">
        <v>66</v>
      </c>
      <c r="I80" s="1" t="str">
        <f>VLOOKUP($B80&amp;"__wt",'SegEnds_Xtal_BW#'!$A:$Z,9,FALSE)</f>
        <v>-</v>
      </c>
      <c r="J80" s="1" t="str">
        <f>VLOOKUP($B80&amp;"__wt",'SegEnds_Xtal_BW#'!$A:$Z,10,FALSE)</f>
        <v>-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62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INDEX(ICL3_classA!$G$2:$G$39,MATCH(MIN(ABS(AI80-ICL3_classA!$F$2:$F$39)),ABS(AI80-ICL3_classA!$F$2:$F$39),0))</f>
        <v>74</v>
      </c>
      <c r="U80" s="1">
        <f t="array" ref="U80">INDEX(ICL3_classA!$H$2:$H$39,MATCH(MIN(ABS(AI80-ICL3_classA!$F$2:$F$39)),ABS(AI80-ICL3_classA!$F$2:$F$39),0))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67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>
        <f>VLOOKUP(A80,'SegEnds_NonXtal_Prot#'!A:AL,10,FALSE)-VLOOKUP(A80,'SegEnds_NonXtal_Prot#'!A:AL,7,FALSE)</f>
        <v>16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21</v>
      </c>
      <c r="AH80" s="1">
        <f>VLOOKUP(A80,'SegEnds_NonXtal_Prot#'!A:AL,28,FALSE)-VLOOKUP(A80,'SegEnds_NonXtal_Prot#'!A:AL,22,FALSE)</f>
        <v>48</v>
      </c>
      <c r="AI80" s="1">
        <f>VLOOKUP(A80,'SegEnds_NonXtal_Prot#'!A:AL,31,FALSE)-VLOOKUP(A80,'SegEnds_NonXtal_Prot#'!A:AL,28,FALSE)</f>
        <v>65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259</v>
      </c>
      <c r="B81" s="1" t="str">
        <f>VLOOKUP(A81,Xtal_Templ!A:B,2,FALSE)</f>
        <v>gpr52_human</v>
      </c>
      <c r="C81" s="5">
        <f>VLOOKUP($B81&amp;"__wt",'SegEnds_Xtal_BW#'!$A:$Z,3,FALSE)</f>
        <v>32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08">
        <v>67</v>
      </c>
      <c r="I81" s="1" t="str">
        <f>VLOOKUP($B81&amp;"__wt",'SegEnds_Xtal_BW#'!$A:$Z,9,FALSE)</f>
        <v>-</v>
      </c>
      <c r="J81" s="1" t="str">
        <f>VLOOKUP($B81&amp;"__wt",'SegEnds_Xtal_BW#'!$A:$Z,10,FALSE)</f>
        <v>-</v>
      </c>
      <c r="K81" s="108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62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08">
        <v>36</v>
      </c>
      <c r="T81" s="1">
        <f t="array" ref="T81">INDEX(ICL3_classA!$G$2:$G$39,MATCH(MIN(ABS(AI81-ICL3_classA!$F$2:$F$39)),ABS(AI81-ICL3_classA!$F$2:$F$39),0))</f>
        <v>74</v>
      </c>
      <c r="U81" s="1">
        <f t="array" ref="U81">INDEX(ICL3_classA!$H$2:$H$39,MATCH(MIN(ABS(AI81-ICL3_classA!$F$2:$F$39)),ABS(AI81-ICL3_classA!$F$2:$F$39),0))</f>
        <v>21</v>
      </c>
      <c r="V81" s="1">
        <v>61</v>
      </c>
      <c r="W81" s="108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67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29</v>
      </c>
      <c r="AC81" s="1">
        <f>VLOOKUP(A81,'SegEnds_NonXtal_Prot#'!A:AL,10,FALSE)-VLOOKUP(A81,'SegEnds_NonXtal_Prot#'!A:AL,7,FALSE)</f>
        <v>16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21</v>
      </c>
      <c r="AH81" s="1">
        <f>VLOOKUP(A81,'SegEnds_NonXtal_Prot#'!A:AL,28,FALSE)-VLOOKUP(A81,'SegEnds_NonXtal_Prot#'!A:AL,22,FALSE)</f>
        <v>48</v>
      </c>
      <c r="AI81" s="1">
        <f>VLOOKUP(A81,'SegEnds_NonXtal_Prot#'!A:AL,31,FALSE)-VLOOKUP(A81,'SegEnds_NonXtal_Prot#'!A:AL,28,FALSE)</f>
        <v>66</v>
      </c>
      <c r="AJ81" s="1">
        <f>VLOOKUP(A81,'SegEnds_NonXtal_Prot#'!A:AL,34,FALSE)-VLOOKUP(A81,'SegEnds_NonXtal_Prot#'!A:AL,31,FALSE)</f>
        <v>34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Xtal</v>
      </c>
    </row>
    <row r="82" spans="1:38" x14ac:dyDescent="0.2">
      <c r="A82" s="1" t="s">
        <v>274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INDEX(ICL3_classA!$G$2:$G$39,MATCH(MIN(ABS(AI82-ICL3_classA!$F$2:$F$39)),ABS(AI82-ICL3_classA!$F$2:$F$39),0))</f>
        <v>67</v>
      </c>
      <c r="U82" s="1">
        <f t="array" ref="U82">INDEX(ICL3_classA!$H$2:$H$39,MATCH(MIN(ABS(AI82-ICL3_classA!$F$2:$F$39)),ABS(AI82-ICL3_classA!$F$2:$F$39),0))</f>
        <v>26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23</v>
      </c>
      <c r="AH82" s="1">
        <f>VLOOKUP(A82,'SegEnds_NonXtal_Prot#'!A:AL,28,FALSE)-VLOOKUP(A82,'SegEnds_NonXtal_Prot#'!A:AL,22,FALSE)</f>
        <v>48</v>
      </c>
      <c r="AI82" s="1">
        <f>VLOOKUP(A82,'SegEnds_NonXtal_Prot#'!A:AL,31,FALSE)-VLOOKUP(A82,'SegEnds_NonXtal_Prot#'!A:AL,28,FALSE)</f>
        <v>47</v>
      </c>
      <c r="AJ82" s="1">
        <f>VLOOKUP(A82,'SegEnds_NonXtal_Prot#'!A:AL,34,FALSE)-VLOOKUP(A82,'SegEnds_NonXtal_Prot#'!A:AL,31,FALSE)</f>
        <v>40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275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INDEX(ICL3_classA!$G$2:$G$39,MATCH(MIN(ABS(AI83-ICL3_classA!$F$2:$F$39)),ABS(AI83-ICL3_classA!$F$2:$F$39),0))</f>
        <v>67</v>
      </c>
      <c r="U83" s="1">
        <f t="array" ref="U83">INDEX(ICL3_classA!$H$2:$H$39,MATCH(MIN(ABS(AI83-ICL3_classA!$F$2:$F$39)),ABS(AI83-ICL3_classA!$F$2:$F$39),0))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23</v>
      </c>
      <c r="AH83" s="1">
        <f>VLOOKUP(A83,'SegEnds_NonXtal_Prot#'!A:AL,28,FALSE)-VLOOKUP(A83,'SegEnds_NonXtal_Prot#'!A:AL,22,FALSE)</f>
        <v>48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45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276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INDEX(ICL3_classA!$G$2:$G$39,MATCH(MIN(ABS(AI84-ICL3_classA!$F$2:$F$39)),ABS(AI84-ICL3_classA!$F$2:$F$39),0))</f>
        <v>67</v>
      </c>
      <c r="U84" s="1">
        <f t="array" ref="U84">INDEX(ICL3_classA!$H$2:$H$39,MATCH(MIN(ABS(AI84-ICL3_classA!$F$2:$F$39)),ABS(AI84-ICL3_classA!$F$2:$F$39),0))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23</v>
      </c>
      <c r="AH84" s="1">
        <f>VLOOKUP(A84,'SegEnds_NonXtal_Prot#'!A:AL,28,FALSE)-VLOOKUP(A84,'SegEnds_NonXtal_Prot#'!A:AL,22,FALSE)</f>
        <v>48</v>
      </c>
      <c r="AI84" s="1">
        <f>VLOOKUP(A84,'SegEnds_NonXtal_Prot#'!A:AL,31,FALSE)-VLOOKUP(A84,'SegEnds_NonXtal_Prot#'!A:AL,28,FALSE)</f>
        <v>46</v>
      </c>
      <c r="AJ84" s="1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361</v>
      </c>
      <c r="B85" s="1" t="str">
        <f>VLOOKUP(A85,Xtal_Templ!A:B,2,FALSE)</f>
        <v>pe2r4_human</v>
      </c>
      <c r="C85" s="5">
        <f>VLOOKUP($B85&amp;"__wt",'SegEnds_Xtal_BW#'!$A:$Z,3,FALSE)</f>
        <v>33</v>
      </c>
      <c r="D85" s="1">
        <f>VLOOKUP($B85&amp;"__wt",'SegEnds_Xtal_BW#'!$A:$Z,4,FALSE)</f>
        <v>58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INDEX(ICL3_classA!$G$2:$G$39,MATCH(MIN(ABS(AI85-ICL3_classA!$F$2:$F$39)),ABS(AI85-ICL3_classA!$F$2:$F$39),0))</f>
        <v>76</v>
      </c>
      <c r="U85" s="1">
        <f t="array" ref="U85">INDEX(ICL3_classA!$H$2:$H$39,MATCH(MIN(ABS(AI85-ICL3_classA!$F$2:$F$39)),ABS(AI85-ICL3_classA!$F$2:$F$39),0))</f>
        <v>24</v>
      </c>
      <c r="V85" s="1">
        <v>61</v>
      </c>
      <c r="W85" s="1">
        <v>33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60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39</v>
      </c>
      <c r="AC85" s="1">
        <f>VLOOKUP(A85,'SegEnds_NonXtal_Prot#'!A:AL,10,FALSE)-VLOOKUP(A85,'SegEnds_NonXtal_Prot#'!A:AL,7,FALSE)</f>
        <v>20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56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22</v>
      </c>
      <c r="AH85" s="1">
        <f>VLOOKUP(A85,'SegEnds_NonXtal_Prot#'!A:AL,28,FALSE)-VLOOKUP(A85,'SegEnds_NonXtal_Prot#'!A:AL,22,FALSE)</f>
        <v>48</v>
      </c>
      <c r="AI85" s="1">
        <f>VLOOKUP(A85,'SegEnds_NonXtal_Prot#'!A:AL,31,FALSE)-VLOOKUP(A85,'SegEnds_NonXtal_Prot#'!A:AL,28,FALSE)</f>
        <v>70</v>
      </c>
      <c r="AJ85" s="1">
        <f>VLOOKUP(A85,'SegEnds_NonXtal_Prot#'!A:AL,34,FALSE)-VLOOKUP(A85,'SegEnds_NonXtal_Prot#'!A:AL,31,FALSE)</f>
        <v>33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1501</v>
      </c>
      <c r="B86" s="1" t="str">
        <f>VLOOKUP(A86,Xtal_Templ!A:B,2,FALSE)</f>
        <v>q80km9_hcmv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08">
        <v>21</v>
      </c>
      <c r="L86" s="1">
        <f>VLOOKUP($B86&amp;"__wt",'SegEnds_Xtal_BW#'!$A:$Z,12,FALSE)</f>
        <v>55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33</v>
      </c>
      <c r="T86" s="1">
        <f t="array" ref="T86">INDEX(ICL3_classA!$G$2:$G$39,MATCH(MIN(ABS(AI86-ICL3_classA!$F$2:$F$39)),ABS(AI86-ICL3_classA!$F$2:$F$39),0))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50</v>
      </c>
      <c r="AF86" s="1" t="e">
        <f>VLOOKUP(A86,'SegEnds_NonXtal_Prot#'!A:AL,22,FALSE)-VLOOKUP(A86,'SegEnds_NonXtal_Prot#'!A:AL,19,FALSE)</f>
        <v>#VALUE!</v>
      </c>
      <c r="AG86" s="1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917</v>
      </c>
      <c r="B87" s="1" t="str">
        <f>VLOOKUP(A87,Xtal_Templ!A:B,2,FALSE)</f>
        <v>us28_hcmva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 t="str">
        <f>VLOOKUP($B87&amp;"__wt",'SegEnds_Xtal_BW#'!$A:$Z,9,FALSE)</f>
        <v>-</v>
      </c>
      <c r="J87" s="1" t="str">
        <f>VLOOKUP($B87&amp;"__wt",'SegEnds_Xtal_BW#'!$A:$Z,10,FALSE)</f>
        <v>-</v>
      </c>
      <c r="K87" s="108">
        <v>21</v>
      </c>
      <c r="L87" s="1">
        <f>VLOOKUP($B87&amp;"__wt",'SegEnds_Xtal_BW#'!$A:$Z,12,FALSE)</f>
        <v>55</v>
      </c>
      <c r="M87" s="1" t="str">
        <f>VLOOKUP($B87&amp;"__wt",'SegEnds_Xtal_BW#'!$A:$Z,13,FALSE)</f>
        <v>-</v>
      </c>
      <c r="N87" s="12" t="str">
        <f>VLOOKUP($B87&amp;"__wt",'SegEnds_Xtal_BW#'!$A:$Z,14,FALSE)</f>
        <v>-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33</v>
      </c>
      <c r="T87" s="1">
        <f t="array" ref="T87">INDEX(ICL3_classA!$G$2:$G$39,MATCH(MIN(ABS(AI87-ICL3_classA!$F$2:$F$39)),ABS(AI87-ICL3_classA!$F$2:$F$39),0))</f>
        <v>68</v>
      </c>
      <c r="U87" s="1">
        <v>29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62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50</v>
      </c>
      <c r="AF87" s="1" t="e">
        <f>VLOOKUP(A87,'SegEnds_NonXtal_Prot#'!A:AL,22,FALSE)-VLOOKUP(A87,'SegEnds_NonXtal_Prot#'!A:AL,19,FALSE)</f>
        <v>#VALUE!</v>
      </c>
      <c r="AG87" s="1">
        <f>VLOOKUP(A87,'SegEnds_NonXtal_Prot#'!A:AL,28,FALSE)-VLOOKUP(A87,'SegEnds_NonXtal_Prot#'!A:AL,25,FALSE)</f>
        <v>27</v>
      </c>
      <c r="AH87" s="1">
        <f>VLOOKUP(A87,'SegEnds_NonXtal_Prot#'!A:AL,28,FALSE)-VLOOKUP(A87,'SegEnds_NonXtal_Prot#'!A:AL,22,FALSE)</f>
        <v>48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45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Xtal</v>
      </c>
    </row>
    <row r="88" spans="1:38" x14ac:dyDescent="0.2">
      <c r="A88" s="1" t="s">
        <v>35</v>
      </c>
      <c r="B88" s="1" t="str">
        <f>VLOOKUP(A88,Xtal_Templ!A:B,2,FALSE)</f>
        <v>5ht2b_human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61</v>
      </c>
      <c r="W88" s="131">
        <v>27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21</v>
      </c>
      <c r="AE88" s="1">
        <f>VLOOKUP(A88,'SegEnds_NonXtal_Prot#'!A:AL,16,FALSE)-VLOOKUP(A88,'SegEnds_NonXtal_Prot#'!A:AL,10,FALSE)</f>
        <v>53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22</v>
      </c>
      <c r="AH88" s="1">
        <f>VLOOKUP(A88,'SegEnds_NonXtal_Prot#'!A:AL,28,FALSE)-VLOOKUP(A88,'SegEnds_NonXtal_Prot#'!A:AL,22,FALSE)</f>
        <v>49</v>
      </c>
      <c r="AI88" s="1">
        <f>VLOOKUP(A88,'SegEnds_NonXtal_Prot#'!A:AL,31,FALSE)-VLOOKUP(A88,'SegEnds_NonXtal_Prot#'!A:AL,28,FALSE)</f>
        <v>110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136</v>
      </c>
      <c r="B89" s="1" t="str">
        <f>VLOOKUP(A89,Xtal_Templ!A:B,2,FALSE)</f>
        <v>5ht2c_human</v>
      </c>
      <c r="C89" s="5">
        <f>VLOOKUP($B89&amp;"__wt",'SegEnds_Xtal_BW#'!$A:$Z,3,FALSE)</f>
        <v>33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67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76</v>
      </c>
      <c r="U89" s="1">
        <f t="array" ref="U89">INDEX(ICL3_classA!$H$2:$H$39,MATCH(MIN(ABS(AI89-ICL3_classA!$F$2:$F$39)),ABS(AI89-ICL3_classA!$F$2:$F$39),0))</f>
        <v>24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60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20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83</v>
      </c>
      <c r="AJ89" s="1">
        <f>VLOOKUP(A89,'SegEnds_NonXtal_Prot#'!A:AL,34,FALSE)-VLOOKUP(A89,'SegEnds_NonXtal_Prot#'!A:AL,31,FALSE)</f>
        <v>34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170</v>
      </c>
      <c r="B90" s="1" t="str">
        <f>VLOOKUP(A90,Xtal_Templ!A:B,2,FALSE)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INDEX(ICL3_classA!$G$2:$G$39,MATCH(MIN(ABS(AI90-ICL3_classA!$F$2:$F$39)),ABS(AI90-ICL3_classA!$F$2:$F$39),0))</f>
        <v>68</v>
      </c>
      <c r="U90" s="1">
        <f t="array" ref="U90">INDEX(ICL3_classA!$H$2:$H$39,MATCH(MIN(ABS(AI90-ICL3_classA!$F$2:$F$39)),ABS(AI90-ICL3_classA!$F$2:$F$39),0))</f>
        <v>28</v>
      </c>
      <c r="V90" s="1">
        <v>65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44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184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INDEX(ICL3_classA!$G$2:$G$39,MATCH(MIN(ABS(AI91-ICL3_classA!$F$2:$F$39)),ABS(AI91-ICL3_classA!$F$2:$F$39),0))</f>
        <v>68</v>
      </c>
      <c r="U91" s="1">
        <f t="array" ref="U91">INDEX(ICL3_classA!$H$2:$H$39,MATCH(MIN(ABS(AI91-ICL3_classA!$F$2:$F$39)),ABS(AI91-ICL3_classA!$F$2:$F$39),0))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 t="e">
        <f>VLOOKUP(A91,'SegEnds_NonXtal_Prot#'!A:AL,13,FALSE)-VLOOKUP(A91,'SegEnds_NonXtal_Prot#'!A:AL,10,FALSE)</f>
        <v>#VALUE!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205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INDEX(ICL3_classA!$G$2:$G$39,MATCH(MIN(ABS(AI92-ICL3_classA!$F$2:$F$39)),ABS(AI92-ICL3_classA!$F$2:$F$39),0))</f>
        <v>72</v>
      </c>
      <c r="U92" s="1">
        <f t="array" ref="U92">INDEX(ICL3_classA!$H$2:$H$39,MATCH(MIN(ABS(AI92-ICL3_classA!$F$2:$F$39)),ABS(AI92-ICL3_classA!$F$2:$F$39),0))</f>
        <v>23</v>
      </c>
      <c r="V92" s="1">
        <v>61</v>
      </c>
      <c r="W92" s="131">
        <f>VLOOKUP($B92&amp;"__wt",'SegEnds_Xtal_BW#'!$A:$Z,23,FALSE)</f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206</v>
      </c>
      <c r="B93" s="1" t="str">
        <f>VLOOKUP(A93,Xtal_Templ!A:B,2,FALSE)</f>
        <v>oprk_human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INDEX(ICL3_classA!$G$2:$G$39,MATCH(MIN(ABS(AI93-ICL3_classA!$F$2:$F$39)),ABS(AI93-ICL3_classA!$F$2:$F$39),0))</f>
        <v>72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31">
        <f>VLOOKUP($B93&amp;"__wt",'SegEnds_Xtal_BW#'!$A:$Z,23,FALSE)</f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33</v>
      </c>
      <c r="AC93" s="1">
        <f>VLOOKUP(A93,'SegEnds_NonXtal_Prot#'!A:AL,10,FALSE)-VLOOKUP(A93,'SegEnds_NonXtal_Prot#'!A:AL,7,FALSE)</f>
        <v>19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54</v>
      </c>
      <c r="AJ93" s="1">
        <f>VLOOKUP(A93,'SegEnds_NonXtal_Prot#'!A:AL,34,FALSE)-VLOOKUP(A93,'SegEnds_NonXtal_Prot#'!A:AL,31,FALSE)</f>
        <v>38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224</v>
      </c>
      <c r="B94" s="1" t="str">
        <f>VLOOKUP(A94,Xtal_Templ!A:B,2,FALSE)</f>
        <v>ox2r_human</v>
      </c>
      <c r="C94" s="5">
        <f>VLOOKUP($B94&amp;"__wt",'SegEnds_Xtal_BW#'!$A:$Z,3,FALSE)</f>
        <v>31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08">
        <v>55</v>
      </c>
      <c r="Y94" s="1">
        <f>VLOOKUP($B94&amp;"__wt",'SegEnds_Xtal_BW#'!$A:$Z,25,FALSE)</f>
        <v>47</v>
      </c>
      <c r="Z94" s="1">
        <f>VLOOKUP($B94&amp;"__wt",'SegEnds_Xtal_BW#'!$A:$Z,26,FALSE)</f>
        <v>63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27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24</v>
      </c>
      <c r="AE94" s="1">
        <f>VLOOKUP(A94,'SegEnds_NonXtal_Prot#'!A:AL,16,FALSE)-VLOOKUP(A94,'SegEnds_NonXtal_Prot#'!A:AL,10,FALSE)</f>
        <v>56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23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76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9</v>
      </c>
      <c r="AL94" s="1" t="str">
        <f>IF(ISERROR(MATCH(A94,'SegEnds_Xtal_Prot#'!B:B, 0)), "NoXtal", "Xtal")</f>
        <v>NoXtal</v>
      </c>
    </row>
    <row r="95" spans="1:38" x14ac:dyDescent="0.2">
      <c r="A95" s="1" t="s">
        <v>225</v>
      </c>
      <c r="B95" s="1" t="str">
        <f>VLOOKUP(A95,Xtal_Templ!A:B,2,FALSE)</f>
        <v>p2y12_human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 t="str">
        <f>VLOOKUP($B95&amp;"__wt",'SegEnds_Xtal_BW#'!$A:$Z,5,FALSE)</f>
        <v>-</v>
      </c>
      <c r="F95" s="1" t="str">
        <f>VLOOKUP($B95&amp;"__wt",'SegEnds_Xtal_BW#'!$A:$Z,6,FALSE)</f>
        <v>-</v>
      </c>
      <c r="G95" s="1">
        <v>37</v>
      </c>
      <c r="H95" s="12">
        <f>VLOOKUP($B95&amp;"__wt",'SegEnds_Xtal_BW#'!$A:$Z,8,FALSE)</f>
        <v>66</v>
      </c>
      <c r="I95" s="1" t="str">
        <f>VLOOKUP($B95&amp;"__wt",'SegEnds_Xtal_BW#'!$A:$Z,9,FALSE)</f>
        <v>-</v>
      </c>
      <c r="J95" s="1" t="str">
        <f>VLOOKUP($B95&amp;"__wt",'SegEnds_Xtal_BW#'!$A:$Z,10,FALSE)</f>
        <v>-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INDEX(ICL3_classA!$G$2:$G$39,MATCH(MIN(ABS(AI95-ICL3_classA!$F$2:$F$39)),ABS(AI95-ICL3_classA!$F$2:$F$39),0))</f>
        <v>73</v>
      </c>
      <c r="U95" s="1">
        <f t="array" ref="U95">INDEX(ICL3_classA!$H$2:$H$39,MATCH(MIN(ABS(AI95-ICL3_classA!$F$2:$F$39)),ABS(AI95-ICL3_classA!$F$2:$F$39),0))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57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27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54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49</v>
      </c>
      <c r="AI95" s="1">
        <f>VLOOKUP(A95,'SegEnds_NonXtal_Prot#'!A:AL,31,FALSE)-VLOOKUP(A95,'SegEnds_NonXtal_Prot#'!A:AL,28,FALSE)</f>
        <v>58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227</v>
      </c>
      <c r="B96" s="1" t="str">
        <f>VLOOKUP(A96,Xtal_Templ!A:B,2,FALSE)</f>
        <v>npy1r_human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08">
        <v>50</v>
      </c>
      <c r="N96" s="12">
        <v>57</v>
      </c>
      <c r="O96" s="87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INDEX(ICL3_classA!$G$2:$G$39,MATCH(MIN(ABS(AI96-ICL3_classA!$F$2:$F$39)),ABS(AI96-ICL3_classA!$F$2:$F$39),0))</f>
        <v>74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32</v>
      </c>
      <c r="X96" s="108">
        <v>55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27</v>
      </c>
      <c r="AC96" s="1">
        <f>VLOOKUP(A96,'SegEnds_NonXtal_Prot#'!A:AL,10,FALSE)-VLOOKUP(A96,'SegEnds_NonXtal_Prot#'!A:AL,7,FALSE)</f>
        <v>14</v>
      </c>
      <c r="AD96" s="1">
        <f>VLOOKUP(A96,'SegEnds_NonXtal_Prot#'!A:AL,13,FALSE)-VLOOKUP(A96,'SegEnds_NonXtal_Prot#'!A:AL,10,FALSE)</f>
        <v>25</v>
      </c>
      <c r="AE96" s="1">
        <f>VLOOKUP(A96,'SegEnds_NonXtal_Prot#'!A:AL,16,FALSE)-VLOOKUP(A96,'SegEnds_NonXtal_Prot#'!A:AL,10,FALSE)</f>
        <v>57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49</v>
      </c>
      <c r="AI96" s="1">
        <f>VLOOKUP(A96,'SegEnds_NonXtal_Prot#'!A:AL,31,FALSE)-VLOOKUP(A96,'SegEnds_NonXtal_Prot#'!A:AL,28,FALSE)</f>
        <v>96</v>
      </c>
      <c r="AJ96" s="1">
        <f>VLOOKUP(A96,'SegEnds_NonXtal_Prot#'!A:AL,34,FALSE)-VLOOKUP(A96,'SegEnds_NonXtal_Prot#'!A:AL,31,FALSE)</f>
        <v>34</v>
      </c>
      <c r="AK96" s="1">
        <f>VLOOKUP(A96,'SegEnds_NonXtal_Prot#'!A:AL,37,FALSE)-VLOOKUP(A96,'SegEnds_NonXtal_Prot#'!A:AL,34,FALSE)</f>
        <v>9</v>
      </c>
      <c r="AL96" s="1" t="str">
        <f>IF(ISERROR(MATCH(A96,'SegEnds_Xtal_Prot#'!B:B, 0)), "NoXtal", "Xtal")</f>
        <v>NoXtal</v>
      </c>
    </row>
    <row r="97" spans="1:38" x14ac:dyDescent="0.2">
      <c r="A97" s="1" t="s">
        <v>238</v>
      </c>
      <c r="B97" s="1" t="str">
        <f>VLOOKUP(A97,Xtal_Templ!A:B,2,FALSE)</f>
        <v>apj_human</v>
      </c>
      <c r="C97" s="5">
        <f>VLOOKUP($B97&amp;"__wt",'SegEnds_Xtal_BW#'!$A:$Z,3,FALSE)</f>
        <v>33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30</v>
      </c>
      <c r="T97" s="1">
        <f t="array" ref="T97">INDEX(ICL3_classA!$G$2:$G$39,MATCH(MIN(ABS(AI97-ICL3_classA!$F$2:$F$39)),ABS(AI97-ICL3_classA!$F$2:$F$39),0))</f>
        <v>68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24</v>
      </c>
      <c r="AH97" s="1">
        <f>VLOOKUP(A97,'SegEnds_NonXtal_Prot#'!A:AL,28,FALSE)-VLOOKUP(A97,'SegEnds_NonXtal_Prot#'!A:AL,22,FALSE)</f>
        <v>49</v>
      </c>
      <c r="AI97" s="1">
        <f>VLOOKUP(A97,'SegEnds_NonXtal_Prot#'!A:AL,31,FALSE)-VLOOKUP(A97,'SegEnds_NonXtal_Prot#'!A:AL,28,FALSE)</f>
        <v>49</v>
      </c>
      <c r="AJ97" s="1">
        <f>VLOOKUP(A97,'SegEnds_NonXtal_Prot#'!A:AL,34,FALSE)-VLOOKUP(A97,'SegEnds_NonXtal_Prot#'!A:AL,31,FALSE)</f>
        <v>43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281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INDEX(ICL3_classA!$G$2:$G$39,MATCH(MIN(ABS(AI98-ICL3_classA!$F$2:$F$39)),ABS(AI98-ICL3_classA!$F$2:$F$39),0))</f>
        <v>74</v>
      </c>
      <c r="U98" s="1">
        <f t="array" ref="U98">INDEX(ICL3_classA!$H$2:$H$39,MATCH(MIN(ABS(AI98-ICL3_classA!$F$2:$F$39)),ABS(AI98-ICL3_classA!$F$2:$F$39),0))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25</v>
      </c>
      <c r="AH98" s="1">
        <f>VLOOKUP(A98,'SegEnds_NonXtal_Prot#'!A:AL,28,FALSE)-VLOOKUP(A98,'SegEnds_NonXtal_Prot#'!A:AL,22,FALSE)</f>
        <v>49</v>
      </c>
      <c r="AI98" s="1">
        <f>VLOOKUP(A98,'SegEnds_NonXtal_Prot#'!A:AL,31,FALSE)-VLOOKUP(A98,'SegEnds_NonXtal_Prot#'!A:AL,28,FALSE)</f>
        <v>62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284</v>
      </c>
      <c r="B99" s="1" t="str">
        <f>VLOOKUP(A99,Xtal_Templ!A:B,2,FALSE)</f>
        <v>mtr1a_human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68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INDEX(ICL3_classA!$G$2:$G$39,MATCH(MIN(ABS(AI99-ICL3_classA!$F$2:$F$39)),ABS(AI99-ICL3_classA!$F$2:$F$39),0))</f>
        <v>67</v>
      </c>
      <c r="U99" s="1">
        <f t="array" ref="U99">INDEX(ICL3_classA!$H$2:$H$39,MATCH(MIN(ABS(AI99-ICL3_classA!$F$2:$F$39)),ABS(AI99-ICL3_classA!$F$2:$F$39),0))</f>
        <v>28</v>
      </c>
      <c r="V99" s="1">
        <v>61</v>
      </c>
      <c r="W99" s="1">
        <v>31</v>
      </c>
      <c r="X99" s="108">
        <v>56</v>
      </c>
      <c r="Y99" s="1">
        <f>VLOOKUP($B99&amp;"__wt",'SegEnds_Xtal_BW#'!$A:$Z,25,FALSE)</f>
        <v>47</v>
      </c>
      <c r="Z99" s="1">
        <f>VLOOKUP($B99&amp;"__wt",'SegEnds_Xtal_BW#'!$A:$Z,26,FALSE)</f>
        <v>63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26</v>
      </c>
      <c r="AH99" s="1">
        <f>VLOOKUP(A99,'SegEnds_NonXtal_Prot#'!A:AL,28,FALSE)-VLOOKUP(A99,'SegEnds_NonXtal_Prot#'!A:AL,22,FALSE)</f>
        <v>49</v>
      </c>
      <c r="AI99" s="1">
        <f>VLOOKUP(A99,'SegEnds_NonXtal_Prot#'!A:AL,31,FALSE)-VLOOKUP(A99,'SegEnds_NonXtal_Prot#'!A:AL,28,FALSE)</f>
        <v>45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384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INDEX(ICL3_classA!$G$2:$G$39,MATCH(MIN(ABS(AI100-ICL3_classA!$F$2:$F$39)),ABS(AI100-ICL3_classA!$F$2:$F$39),0))</f>
        <v>72</v>
      </c>
      <c r="U100" s="1">
        <f t="array" ref="U100">INDEX(ICL3_classA!$H$2:$H$39,MATCH(MIN(ABS(AI100-ICL3_classA!$F$2:$F$39)),ABS(AI100-ICL3_classA!$F$2:$F$39),0))</f>
        <v>29</v>
      </c>
      <c r="V100" s="1">
        <v>61</v>
      </c>
      <c r="W100" s="131">
        <f>VLOOKUP($B100&amp;"__wt",'SegEnds_Xtal_BW#'!$A:$Z,23,FALSE)</f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27</v>
      </c>
      <c r="AH100" s="1">
        <f>VLOOKUP(A100,'SegEnds_NonXtal_Prot#'!A:AL,28,FALSE)-VLOOKUP(A100,'SegEnds_NonXtal_Prot#'!A:AL,22,FALSE)</f>
        <v>49</v>
      </c>
      <c r="AI100" s="1">
        <f>VLOOKUP(A100,'SegEnds_NonXtal_Prot#'!A:AL,31,FALSE)-VLOOKUP(A100,'SegEnds_NonXtal_Prot#'!A:AL,28,FALSE)</f>
        <v>50</v>
      </c>
      <c r="AJ100" s="1">
        <f>VLOOKUP(A100,'SegEnds_NonXtal_Prot#'!A:AL,34,FALSE)-VLOOKUP(A100,'SegEnds_NonXtal_Prot#'!A:AL,31,FALSE)</f>
        <v>38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395</v>
      </c>
      <c r="B101" s="1" t="str">
        <f>VLOOKUP(A101,Xtal_Templ!A:B,2,FALSE)</f>
        <v>ccr5_human</v>
      </c>
      <c r="C101" s="5">
        <f>VLOOKUP($B101&amp;"__wt",'SegEnds_Xtal_BW#'!$A:$Z,3,FALSE)</f>
        <v>24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08">
        <v>56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30</v>
      </c>
      <c r="T101" s="1">
        <f t="array" ref="T101">INDEX(ICL3_classA!$G$2:$G$39,MATCH(MIN(ABS(AI101-ICL3_classA!$F$2:$F$39)),ABS(AI101-ICL3_classA!$F$2:$F$39),0))</f>
        <v>72</v>
      </c>
      <c r="U101" s="1">
        <f t="array" ref="U101">INDEX(ICL3_classA!$H$2:$H$39,MATCH(MIN(ABS(AI101-ICL3_classA!$F$2:$F$39)),ABS(AI101-ICL3_classA!$F$2:$F$39),0))</f>
        <v>29</v>
      </c>
      <c r="V101" s="1">
        <v>61</v>
      </c>
      <c r="W101" s="131">
        <f>VLOOKUP($B101&amp;"__wt",'SegEnds_Xtal_BW#'!$A:$Z,23,FALSE)</f>
        <v>24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19</v>
      </c>
      <c r="AG101" s="1">
        <f>VLOOKUP(A101,'SegEnds_NonXtal_Prot#'!A:AL,28,FALSE)-VLOOKUP(A101,'SegEnds_NonXtal_Prot#'!A:AL,25,FALSE)</f>
        <v>24</v>
      </c>
      <c r="AH101" s="1">
        <f>VLOOKUP(A101,'SegEnds_NonXtal_Prot#'!A:AL,28,FALSE)-VLOOKUP(A101,'SegEnds_NonXtal_Prot#'!A:AL,22,FALSE)</f>
        <v>49</v>
      </c>
      <c r="AI101" s="1">
        <f>VLOOKUP(A101,'SegEnds_NonXtal_Prot#'!A:AL,31,FALSE)-VLOOKUP(A101,'SegEnds_NonXtal_Prot#'!A:AL,28,FALSE)</f>
        <v>50</v>
      </c>
      <c r="AJ101" s="1">
        <f>VLOOKUP(A101,'SegEnds_NonXtal_Prot#'!A:AL,34,FALSE)-VLOOKUP(A101,'SegEnds_NonXtal_Prot#'!A:AL,31,FALSE)</f>
        <v>39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145</v>
      </c>
      <c r="B102" s="1" t="str">
        <f>VLOOKUP(A102,Xtal_Templ!A:B,2,FALSE)</f>
        <v>ccr9_human</v>
      </c>
      <c r="C102" s="5">
        <f>VLOOKUP($B102&amp;"__wt",'SegEnds_Xtal_BW#'!$A:$Z,3,FALSE)</f>
        <v>27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08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56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33</v>
      </c>
      <c r="T102" s="1">
        <f t="array" ref="T102">INDEX(ICL3_classA!$G$2:$G$39,MATCH(MIN(ABS(AI102-ICL3_classA!$F$2:$F$39)),ABS(AI102-ICL3_classA!$F$2:$F$39),0))</f>
        <v>68</v>
      </c>
      <c r="U102" s="1">
        <f t="array" ref="U102">INDEX(ICL3_classA!$H$2:$H$39,MATCH(MIN(ABS(AI102-ICL3_classA!$F$2:$F$39)),ABS(AI102-ICL3_classA!$F$2:$F$39),0))</f>
        <v>30</v>
      </c>
      <c r="V102" s="1">
        <v>64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67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 t="e">
        <f>VLOOKUP(A102,'SegEnds_NonXtal_Prot#'!A:AL,22,FALSE)-VLOOKUP(A102,'SegEnds_NonXtal_Prot#'!A:AL,19,FALSE)</f>
        <v>#VALUE!</v>
      </c>
      <c r="AG102" s="1">
        <f>VLOOKUP(A102,'SegEnds_NonXtal_Prot#'!A:AL,28,FALSE)-VLOOKUP(A102,'SegEnds_NonXtal_Prot#'!A:AL,25,FALSE)</f>
        <v>28</v>
      </c>
      <c r="AH102" s="1">
        <f>VLOOKUP(A102,'SegEnds_NonXtal_Prot#'!A:AL,28,FALSE)-VLOOKUP(A102,'SegEnds_NonXtal_Prot#'!A:AL,22,FALSE)</f>
        <v>50</v>
      </c>
      <c r="AI102" s="1">
        <f>VLOOKUP(A102,'SegEnds_NonXtal_Prot#'!A:AL,31,FALSE)-VLOOKUP(A102,'SegEnds_NonXtal_Prot#'!A:AL,28,FALSE)</f>
        <v>43</v>
      </c>
      <c r="AJ102" s="1">
        <f>VLOOKUP(A102,'SegEnds_NonXtal_Prot#'!A:AL,34,FALSE)-VLOOKUP(A102,'SegEnds_NonXtal_Prot#'!A:AL,31,FALSE)</f>
        <v>45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35</v>
      </c>
      <c r="T103" s="1">
        <f t="array" ref="T103">INDEX(ICL3_classA!$G$2:$G$39,MATCH(MIN(ABS(AI103-ICL3_classA!$F$2:$F$39)),ABS(AI103-ICL3_classA!$F$2:$F$39),0))</f>
        <v>75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22</v>
      </c>
      <c r="AH103" s="1">
        <f>VLOOKUP(A103,'SegEnds_NonXtal_Prot#'!A:AL,28,FALSE)-VLOOKUP(A103,'SegEnds_NonXtal_Prot#'!A:AL,22,FALSE)</f>
        <v>50</v>
      </c>
      <c r="AI103" s="1">
        <f>VLOOKUP(A103,'SegEnds_NonXtal_Prot#'!A:AL,31,FALSE)-VLOOKUP(A103,'SegEnds_NonXtal_Prot#'!A:AL,28,FALSE)</f>
        <v>180</v>
      </c>
      <c r="AJ103" s="1">
        <f>VLOOKUP(A103,'SegEnds_NonXtal_Prot#'!A:AL,34,FALSE)-VLOOKUP(A103,'SegEnds_NonXtal_Prot#'!A:AL,31,FALSE)</f>
        <v>35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INDEX(ICL3_classA!$G$2:$G$39,MATCH(MIN(ABS(AI104-ICL3_classA!$F$2:$F$39)),ABS(AI104-ICL3_classA!$F$2:$F$39),0))</f>
        <v>75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22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204</v>
      </c>
      <c r="AJ104" s="1">
        <f>VLOOKUP(A104,'SegEnds_NonXtal_Prot#'!A:AL,34,FALSE)-VLOOKUP(A104,'SegEnds_NonXtal_Prot#'!A:AL,31,FALSE)</f>
        <v>35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Xtal</v>
      </c>
    </row>
    <row r="105" spans="1:38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263</v>
      </c>
      <c r="AJ105" s="1">
        <f>VLOOKUP(A105,'SegEnds_NonXtal_Prot#'!A:AL,34,FALSE)-VLOOKUP(A105,'SegEnds_NonXtal_Prot#'!A:AL,31,FALSE)</f>
        <v>35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4" t="s">
        <v>903</v>
      </c>
      <c r="B106" s="4" t="str">
        <f>VLOOKUP(A106,Xtal_Templ!A:B,2,FALSE)</f>
        <v>acm3_rat</v>
      </c>
      <c r="C106" s="5">
        <f>VLOOKUP($B106&amp;"__wt",'SegEnds_Xtal_BW#'!$A:$Z,3,FALSE)</f>
        <v>28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1">
        <f>VLOOKUP($B106&amp;"__wt",'SegEnds_Xtal_BW#'!$A:$Z,19,FALSE)</f>
        <v>35</v>
      </c>
      <c r="T106" s="4">
        <f t="array" ref="T106">INDEX(ICL3_classA!$G$2:$G$39,MATCH(MIN(ABS(AI106-ICL3_classA!$F$2:$F$39)),ABS(AI106-ICL3_classA!$F$2:$F$39),0))</f>
        <v>75</v>
      </c>
      <c r="U106" s="4">
        <f t="array" ref="U106">INDEX(ICL3_classA!$H$2:$H$39,MATCH(MIN(ABS(AI106-ICL3_classA!$F$2:$F$39)),ABS(AI106-ICL3_classA!$F$2:$F$39),0))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4">
        <f>VLOOKUP(A106,'SegEnds_NonXtal_Prot#'!A:AL,10,FALSE)-VLOOKUP(A106,'SegEnds_NonXtal_Prot#'!A:AL,7,FALSE)</f>
        <v>15</v>
      </c>
      <c r="AD106" s="4">
        <f>VLOOKUP(A106,'SegEnds_NonXtal_Prot#'!A:AL,13,FALSE)-VLOOKUP(A106,'SegEnds_NonXtal_Prot#'!A:AL,10,FALSE)</f>
        <v>20</v>
      </c>
      <c r="AE106" s="4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4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50</v>
      </c>
      <c r="AI106" s="4">
        <f>VLOOKUP(A106,'SegEnds_NonXtal_Prot#'!A:AL,31,FALSE)-VLOOKUP(A106,'SegEnds_NonXtal_Prot#'!A:AL,28,FALSE)</f>
        <v>263</v>
      </c>
      <c r="AJ106" s="4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149</v>
      </c>
      <c r="B107" s="1" t="str">
        <f>VLOOKUP(A107,Xtal_Templ!A:B,2,FALSE)</f>
        <v>acm4_human</v>
      </c>
      <c r="C107" s="5">
        <f>VLOOKUP($B107&amp;"__wt",'SegEnds_Xtal_BW#'!$A:$Z,3,FALSE)</f>
        <v>26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50</v>
      </c>
      <c r="AI107" s="1">
        <f>VLOOKUP(A107,'SegEnds_NonXtal_Prot#'!A:AL,31,FALSE)-VLOOKUP(A107,'SegEnds_NonXtal_Prot#'!A:AL,28,FALSE)</f>
        <v>208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150</v>
      </c>
      <c r="B108" s="1" t="str">
        <f>VLOOKUP(A108,Xtal_Templ!A:B,2,FALSE)</f>
        <v>acm5_human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75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252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Xtal</v>
      </c>
    </row>
    <row r="109" spans="1:38" x14ac:dyDescent="0.2">
      <c r="A109" s="1" t="s">
        <v>155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INDEX(ICL3_classA!$G$2:$G$39,MATCH(MIN(ABS(AI109-ICL3_classA!$F$2:$F$39)),ABS(AI109-ICL3_classA!$F$2:$F$39),0))</f>
        <v>75</v>
      </c>
      <c r="U109" s="1">
        <f t="array" ref="U109">INDEX(ICL3_classA!$H$2:$H$39,MATCH(MIN(ABS(AI109-ICL3_classA!$F$2:$F$39)),ABS(AI109-ICL3_classA!$F$2:$F$39),0))</f>
        <v>24</v>
      </c>
      <c r="V109" s="1">
        <v>61</v>
      </c>
      <c r="W109" s="1">
        <v>32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50</v>
      </c>
      <c r="AI109" s="1">
        <f>VLOOKUP(A109,'SegEnds_NonXtal_Prot#'!A:AL,31,FALSE)-VLOOKUP(A109,'SegEnds_NonXtal_Prot#'!A:AL,28,FALSE)</f>
        <v>181</v>
      </c>
      <c r="AJ109" s="1">
        <f>VLOOKUP(A109,'SegEnds_NonXtal_Prot#'!A:AL,34,FALSE)-VLOOKUP(A109,'SegEnds_NonXtal_Prot#'!A:AL,31,FALSE)</f>
        <v>34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180</v>
      </c>
      <c r="B110" s="1" t="str">
        <f>VLOOKUP(A110,Xtal_Templ!A:B,2,FALSE)</f>
        <v>cltr2_human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INDEX(ICL3_classA!$G$2:$G$39,MATCH(MIN(ABS(AI110-ICL3_classA!$F$2:$F$39)),ABS(AI110-ICL3_classA!$F$2:$F$39),0))</f>
        <v>68</v>
      </c>
      <c r="U110" s="1">
        <f t="array" ref="U110">INDEX(ICL3_classA!$H$2:$H$39,MATCH(MIN(ABS(AI110-ICL3_classA!$F$2:$F$39)),ABS(AI110-ICL3_classA!$F$2:$F$39),0))</f>
        <v>24</v>
      </c>
      <c r="V110" s="1">
        <f>VLOOKUP($B110&amp;"__wt",'SegEnds_Xtal_BW#'!$A:$Z,22,FALSE)</f>
        <v>62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26</v>
      </c>
      <c r="AH110" s="1">
        <f>VLOOKUP(A110,'SegEnds_NonXtal_Prot#'!A:AL,28,FALSE)-VLOOKUP(A110,'SegEnds_NonXtal_Prot#'!A:AL,22,FALSE)</f>
        <v>50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Xtal</v>
      </c>
    </row>
    <row r="111" spans="1:38" x14ac:dyDescent="0.2">
      <c r="A111" s="1" t="s">
        <v>1165</v>
      </c>
      <c r="B111" s="1" t="str">
        <f>VLOOKUP(A111,Xtal_Templ!A:B,2,FALSE)</f>
        <v>cxcr4_human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INDEX(ICL3_classA!$G$2:$G$39,MATCH(MIN(ABS(AI111-ICL3_classA!$F$2:$F$39)),ABS(AI111-ICL3_classA!$F$2:$F$39),0))</f>
        <v>68</v>
      </c>
      <c r="U111" s="1">
        <f t="array" ref="U111">INDEX(ICL3_classA!$H$2:$H$39,MATCH(MIN(ABS(AI111-ICL3_classA!$F$2:$F$39)),ABS(AI111-ICL3_classA!$F$2:$F$39),0))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18</v>
      </c>
      <c r="AE111" s="1">
        <f>VLOOKUP(A111,'SegEnds_NonXtal_Prot#'!A:AL,16,FALSE)-VLOOKUP(A111,'SegEnds_NonXtal_Prot#'!A:AL,10,FALSE)</f>
        <v>50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43</v>
      </c>
      <c r="AJ111" s="1">
        <f>VLOOKUP(A111,'SegEnds_NonXtal_Prot#'!A:AL,34,FALSE)-VLOOKUP(A111,'SegEnds_NonXtal_Prot#'!A:AL,31,FALSE)</f>
        <v>45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231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33</v>
      </c>
      <c r="T112" s="1">
        <f t="array" ref="T112">INDEX(ICL3_classA!$G$2:$G$39,MATCH(MIN(ABS(AI112-ICL3_classA!$F$2:$F$39)),ABS(AI112-ICL3_classA!$F$2:$F$39),0))</f>
        <v>74</v>
      </c>
      <c r="U112" s="1">
        <f t="array" ref="U112">INDEX(ICL3_classA!$H$2:$H$39,MATCH(MIN(ABS(AI112-ICL3_classA!$F$2:$F$39)),ABS(AI112-ICL3_classA!$F$2:$F$39),0))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63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22</v>
      </c>
      <c r="AE112" s="1">
        <f>VLOOKUP(A112,'SegEnds_NonXtal_Prot#'!A:AL,16,FALSE)-VLOOKUP(A112,'SegEnds_NonXtal_Prot#'!A:AL,10,FALSE)</f>
        <v>55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50</v>
      </c>
      <c r="AI112" s="1">
        <f>VLOOKUP(A112,'SegEnds_NonXtal_Prot#'!A:AL,31,FALSE)-VLOOKUP(A112,'SegEnds_NonXtal_Prot#'!A:AL,28,FALSE)</f>
        <v>64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245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INDEX(ICL3_classA!$G$2:$G$39,MATCH(MIN(ABS(AI113-ICL3_classA!$F$2:$F$39)),ABS(AI113-ICL3_classA!$F$2:$F$39),0))</f>
        <v>67</v>
      </c>
      <c r="U113" s="1">
        <f t="array" ref="U113">INDEX(ICL3_classA!$H$2:$H$39,MATCH(MIN(ABS(AI113-ICL3_classA!$F$2:$F$39)),ABS(AI113-ICL3_classA!$F$2:$F$39),0))</f>
        <v>28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23</v>
      </c>
      <c r="AH113" s="1">
        <f>VLOOKUP(A113,'SegEnds_NonXtal_Prot#'!A:AL,28,FALSE)-VLOOKUP(A113,'SegEnds_NonXtal_Prot#'!A:AL,22,FALSE)</f>
        <v>50</v>
      </c>
      <c r="AI113" s="1">
        <f>VLOOKUP(A113,'SegEnds_NonXtal_Prot#'!A:AL,31,FALSE)-VLOOKUP(A113,'SegEnds_NonXtal_Prot#'!A:AL,28,FALSE)</f>
        <v>45</v>
      </c>
      <c r="AJ113" s="1">
        <f>VLOOKUP(A113,'SegEnds_NonXtal_Prot#'!A:AL,34,FALSE)-VLOOKUP(A113,'SegEnds_NonXtal_Prot#'!A:AL,31,FALSE)</f>
        <v>45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249</v>
      </c>
      <c r="B114" s="1" t="str">
        <f>VLOOKUP(A114,Xtal_Templ!A:B,2,FALSE)</f>
        <v>oprd_mouse</v>
      </c>
      <c r="C114" s="5">
        <f>VLOOKUP($B114&amp;"__wt",'SegEnds_Xtal_BW#'!$A:$Z,3,FALSE)</f>
        <v>24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INDEX(ICL3_classA!$G$2:$G$39,MATCH(MIN(ABS(AI114-ICL3_classA!$F$2:$F$39)),ABS(AI114-ICL3_classA!$F$2:$F$39),0))</f>
        <v>68</v>
      </c>
      <c r="U114" s="1">
        <f t="array" ref="U114">INDEX(ICL3_classA!$H$2:$H$39,MATCH(MIN(ABS(AI114-ICL3_classA!$F$2:$F$39)),ABS(AI114-ICL3_classA!$F$2:$F$39),0))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27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42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277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f>VLOOKUP($B115&amp;"__wt",'SegEnds_Xtal_BW#'!$A:$Z,15,FALSE)</f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INDEX(ICL3_classA!$G$2:$G$39,MATCH(MIN(ABS(AI115-ICL3_classA!$F$2:$F$39)),ABS(AI115-ICL3_classA!$F$2:$F$39),0))</f>
        <v>76</v>
      </c>
      <c r="U115" s="1">
        <f t="array" ref="U115">INDEX(ICL3_classA!$H$2:$H$39,MATCH(MIN(ABS(AI115-ICL3_classA!$F$2:$F$39)),ABS(AI115-ICL3_classA!$F$2:$F$39),0))</f>
        <v>24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22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228</v>
      </c>
      <c r="AJ115" s="1">
        <f>VLOOKUP(A115,'SegEnds_NonXtal_Prot#'!A:AL,34,FALSE)-VLOOKUP(A115,'SegEnds_NonXtal_Prot#'!A:AL,31,FALSE)</f>
        <v>35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279</v>
      </c>
      <c r="B116" s="1" t="str">
        <f>VLOOKUP(A116,Xtal_Templ!A:B,2,FALSE)</f>
        <v>hrh1_human</v>
      </c>
      <c r="C116" s="5">
        <f>VLOOKUP($B116&amp;"__wt",'SegEnds_Xtal_BW#'!$A:$Z,3,FALSE)</f>
        <v>34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58</v>
      </c>
      <c r="O116" s="87">
        <f>VLOOKUP($B116&amp;"__wt",'SegEnds_Xtal_BW#'!$A:$Z,15,FALSE)</f>
        <v>38</v>
      </c>
      <c r="P116" s="1"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INDEX(ICL3_classA!$G$2:$G$39,MATCH(MIN(ABS(AI116-ICL3_classA!$F$2:$F$39)),ABS(AI116-ICL3_classA!$F$2:$F$39),0))</f>
        <v>75</v>
      </c>
      <c r="U116" s="1">
        <f t="array" ref="U116">INDEX(ICL3_classA!$H$2:$H$39,MATCH(MIN(ABS(AI116-ICL3_classA!$F$2:$F$39)),ABS(AI116-ICL3_classA!$F$2:$F$39),0))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21</v>
      </c>
      <c r="AG116" s="1">
        <f>VLOOKUP(A116,'SegEnds_NonXtal_Prot#'!A:AL,28,FALSE)-VLOOKUP(A116,'SegEnds_NonXtal_Prot#'!A:AL,25,FALSE)</f>
        <v>22</v>
      </c>
      <c r="AH116" s="1">
        <f>VLOOKUP(A116,'SegEnds_NonXtal_Prot#'!A:AL,28,FALSE)-VLOOKUP(A116,'SegEnds_NonXtal_Prot#'!A:AL,22,FALSE)</f>
        <v>50</v>
      </c>
      <c r="AI116" s="1">
        <f>VLOOKUP(A116,'SegEnds_NonXtal_Prot#'!A:AL,31,FALSE)-VLOOKUP(A116,'SegEnds_NonXtal_Prot#'!A:AL,28,FALSE)</f>
        <v>163</v>
      </c>
      <c r="AJ116" s="1">
        <f>VLOOKUP(A116,'SegEnds_NonXtal_Prot#'!A:AL,34,FALSE)-VLOOKUP(A116,'SegEnds_NonXtal_Prot#'!A:AL,31,FALSE)</f>
        <v>36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373</v>
      </c>
      <c r="B117" s="1" t="str">
        <f>VLOOKUP(A117,Xtal_Templ!A:B,2,FALSE)</f>
        <v>oprd_human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INDEX(ICL3_classA!$G$2:$G$39,MATCH(MIN(ABS(AI117-ICL3_classA!$F$2:$F$39)),ABS(AI117-ICL3_classA!$F$2:$F$39),0))</f>
        <v>67</v>
      </c>
      <c r="U117" s="1">
        <f t="array" ref="U117">INDEX(ICL3_classA!$H$2:$H$39,MATCH(MIN(ABS(AI117-ICL3_classA!$F$2:$F$39)),ABS(AI117-ICL3_classA!$F$2:$F$39),0))</f>
        <v>28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>
        <f>VLOOKUP(A117,'SegEnds_NonXtal_Prot#'!A:AL,10,FALSE)-VLOOKUP(A117,'SegEnds_NonXtal_Prot#'!A:AL,7,FALSE)</f>
        <v>16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25</v>
      </c>
      <c r="AH117" s="1">
        <f>VLOOKUP(A117,'SegEnds_NonXtal_Prot#'!A:AL,28,FALSE)-VLOOKUP(A117,'SegEnds_NonXtal_Prot#'!A:AL,22,FALSE)</f>
        <v>50</v>
      </c>
      <c r="AI117" s="1">
        <f>VLOOKUP(A117,'SegEnds_NonXtal_Prot#'!A:AL,31,FALSE)-VLOOKUP(A117,'SegEnds_NonXtal_Prot#'!A:AL,28,FALSE)</f>
        <v>45</v>
      </c>
      <c r="AJ117" s="1">
        <f>VLOOKUP(A117,'SegEnds_NonXtal_Prot#'!A:AL,34,FALSE)-VLOOKUP(A117,'SegEnds_NonXtal_Prot#'!A:AL,31,FALSE)</f>
        <v>45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382</v>
      </c>
      <c r="B118" s="1" t="str">
        <f>VLOOKUP(A118,Xtal_Templ!A:B,2,FALSE)</f>
        <v>oprk_human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30</v>
      </c>
      <c r="T118" s="1">
        <f t="array" ref="T118">INDEX(ICL3_classA!$G$2:$G$39,MATCH(MIN(ABS(AI118-ICL3_classA!$F$2:$F$39)),ABS(AI118-ICL3_classA!$F$2:$F$39),0))</f>
        <v>72</v>
      </c>
      <c r="U118" s="1">
        <f t="array" ref="U118">INDEX(ICL3_classA!$H$2:$H$39,MATCH(MIN(ABS(AI118-ICL3_classA!$F$2:$F$39)),ABS(AI118-ICL3_classA!$F$2:$F$39),0))</f>
        <v>24</v>
      </c>
      <c r="V118" s="1">
        <v>61</v>
      </c>
      <c r="W118" s="131">
        <f>VLOOKUP($B118&amp;"__wt",'SegEnds_Xtal_BW#'!$A:$Z,23,FALSE)</f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50</v>
      </c>
      <c r="AI118" s="1">
        <f>VLOOKUP(A118,'SegEnds_NonXtal_Prot#'!A:AL,31,FALSE)-VLOOKUP(A118,'SegEnds_NonXtal_Prot#'!A:AL,28,FALSE)</f>
        <v>54</v>
      </c>
      <c r="AJ118" s="1">
        <f>VLOOKUP(A118,'SegEnds_NonXtal_Prot#'!A:AL,34,FALSE)-VLOOKUP(A118,'SegEnds_NonXtal_Prot#'!A:AL,31,FALSE)</f>
        <v>38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467</v>
      </c>
      <c r="B119" s="1" t="str">
        <f>VLOOKUP(A119,Xtal_Templ!A:B,2,FALSE)</f>
        <v>ta2r_human</v>
      </c>
      <c r="C119" s="5">
        <f>VLOOKUP($B119&amp;"__wt",'SegEnds_Xtal_BW#'!$A:$Z,3,FALSE)</f>
        <v>35</v>
      </c>
      <c r="D119" s="1">
        <f>VLOOKUP($B119&amp;"__wt",'SegEnds_Xtal_BW#'!$A:$Z,4,FALSE)</f>
        <v>62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v>67</v>
      </c>
      <c r="I119" s="1">
        <f>VLOOKUP($B119&amp;"__wt",'SegEnds_Xtal_BW#'!$A:$Z,9,FALSE)</f>
        <v>49</v>
      </c>
      <c r="J119" s="1">
        <f>VLOOKUP($B119&amp;"__wt",'SegEnds_Xtal_BW#'!$A:$Z,10,FALSE)</f>
        <v>53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33</v>
      </c>
      <c r="T119" s="1">
        <f t="array" ref="T119">INDEX(ICL3_classA!$G$2:$G$39,MATCH(MIN(ABS(AI119-ICL3_classA!$F$2:$F$39)),ABS(AI119-ICL3_classA!$F$2:$F$39),0))</f>
        <v>72</v>
      </c>
      <c r="U119" s="1">
        <f t="array" ref="U119">INDEX(ICL3_classA!$H$2:$H$39,MATCH(MIN(ABS(AI119-ICL3_classA!$F$2:$F$39)),ABS(AI119-ICL3_classA!$F$2:$F$39),0))</f>
        <v>24</v>
      </c>
      <c r="V119" s="108">
        <v>61</v>
      </c>
      <c r="W119" s="108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32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56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24</v>
      </c>
      <c r="AH119" s="1">
        <f>VLOOKUP(A119,'SegEnds_NonXtal_Prot#'!A:AL,28,FALSE)-VLOOKUP(A119,'SegEnds_NonXtal_Prot#'!A:AL,22,FALSE)</f>
        <v>50</v>
      </c>
      <c r="AI119" s="1">
        <f>VLOOKUP(A119,'SegEnds_NonXtal_Prot#'!A:AL,31,FALSE)-VLOOKUP(A119,'SegEnds_NonXtal_Prot#'!A:AL,28,FALSE)</f>
        <v>53</v>
      </c>
      <c r="AJ119" s="1">
        <f>VLOOKUP(A119,'SegEnds_NonXtal_Prot#'!A:AL,34,FALSE)-VLOOKUP(A119,'SegEnds_NonXtal_Prot#'!A:AL,31,FALSE)</f>
        <v>45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187</v>
      </c>
      <c r="B120" s="1" t="str">
        <f>VLOOKUP(A120,Xtal_Templ!A:B,2,FALSE)</f>
        <v>ccr7_human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33</v>
      </c>
      <c r="T120" s="1">
        <f t="array" ref="T120">INDEX(ICL3_classA!$G$2:$G$39,MATCH(MIN(ABS(AI120-ICL3_classA!$F$2:$F$39)),ABS(AI120-ICL3_classA!$F$2:$F$39),0))</f>
        <v>68</v>
      </c>
      <c r="U120" s="1">
        <f t="array" ref="U120">INDEX(ICL3_classA!$H$2:$H$39,MATCH(MIN(ABS(AI120-ICL3_classA!$F$2:$F$39)),ABS(AI120-ICL3_classA!$F$2:$F$39),0))</f>
        <v>30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51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45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207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76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31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51</v>
      </c>
      <c r="AI121" s="1">
        <f>VLOOKUP(A121,'SegEnds_NonXtal_Prot#'!A:AL,31,FALSE)-VLOOKUP(A121,'SegEnds_NonXtal_Prot#'!A:AL,28,FALSE)</f>
        <v>118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252</v>
      </c>
      <c r="B122" s="1" t="str">
        <f>VLOOKUP(A122,Xtal_Templ!A:B,2,FALSE)</f>
        <v>ptafr_human</v>
      </c>
      <c r="C122" s="5">
        <f>VLOOKUP($B122&amp;"__wt",'SegEnds_Xtal_BW#'!$A:$Z,3,FALSE)</f>
        <v>27</v>
      </c>
      <c r="D122" s="1">
        <f>VLOOKUP($B122&amp;"__wt",'SegEnds_Xtal_BW#'!$A:$Z,4,FALSE)</f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33</v>
      </c>
      <c r="T122" s="1">
        <f t="array" ref="T122">INDEX(ICL3_classA!$G$2:$G$39,MATCH(MIN(ABS(AI122-ICL3_classA!$F$2:$F$39)),ABS(AI122-ICL3_classA!$F$2:$F$39),0))</f>
        <v>68</v>
      </c>
      <c r="U122" s="1">
        <f t="array" ref="U122">INDEX(ICL3_classA!$H$2:$H$39,MATCH(MIN(ABS(AI122-ICL3_classA!$F$2:$F$39)),ABS(AI122-ICL3_classA!$F$2:$F$39),0))</f>
        <v>23</v>
      </c>
      <c r="V122" s="1">
        <v>61</v>
      </c>
      <c r="W122" s="1">
        <v>24</v>
      </c>
      <c r="X122" s="1">
        <f>VLOOKUP($B122&amp;"__wt",'SegEnds_Xtal_BW#'!$A:$Z,24,FALSE)</f>
        <v>59</v>
      </c>
      <c r="Y122" s="1">
        <f>VLOOKUP($B122&amp;"__wt",'SegEnds_Xtal_BW#'!$A:$Z,25,FALSE)</f>
        <v>50</v>
      </c>
      <c r="Z122" s="1">
        <f>VLOOKUP($B122&amp;"__wt",'SegEnds_Xtal_BW#'!$A:$Z,26,FALSE)</f>
        <v>63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51</v>
      </c>
      <c r="AI122" s="1">
        <f>VLOOKUP(A122,'SegEnds_NonXtal_Prot#'!A:AL,31,FALSE)-VLOOKUP(A122,'SegEnds_NonXtal_Prot#'!A:AL,28,FALSE)</f>
        <v>51</v>
      </c>
      <c r="AJ122" s="1">
        <f>VLOOKUP(A122,'SegEnds_NonXtal_Prot#'!A:AL,34,FALSE)-VLOOKUP(A122,'SegEnds_NonXtal_Prot#'!A:AL,31,FALSE)</f>
        <v>43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256</v>
      </c>
      <c r="B123" s="1" t="str">
        <f>VLOOKUP(A123,Xtal_Templ!A:B,2,FALSE)</f>
        <v>ptafr_human</v>
      </c>
      <c r="C123" s="5">
        <f>VLOOKUP($B123&amp;"__wt",'SegEnds_Xtal_BW#'!$A:$Z,3,FALSE)</f>
        <v>27</v>
      </c>
      <c r="D123" s="1">
        <f>VLOOKUP($B123&amp;"__wt",'SegEnds_Xtal_BW#'!$A:$Z,4,FALSE)</f>
        <v>61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33</v>
      </c>
      <c r="T123" s="1">
        <f t="array" ref="T123">INDEX(ICL3_classA!$G$2:$G$39,MATCH(MIN(ABS(AI123-ICL3_classA!$F$2:$F$39)),ABS(AI123-ICL3_classA!$F$2:$F$39),0))</f>
        <v>67</v>
      </c>
      <c r="U123" s="1">
        <f t="array" ref="U123">INDEX(ICL3_classA!$H$2:$H$39,MATCH(MIN(ABS(AI123-ICL3_classA!$F$2:$F$39)),ABS(AI123-ICL3_classA!$F$2:$F$39),0))</f>
        <v>26</v>
      </c>
      <c r="V123" s="1">
        <v>64</v>
      </c>
      <c r="W123" s="1">
        <v>24</v>
      </c>
      <c r="X123" s="1">
        <f>VLOOKUP($B123&amp;"__wt",'SegEnds_Xtal_BW#'!$A:$Z,24,FALSE)</f>
        <v>59</v>
      </c>
      <c r="Y123" s="1">
        <f>VLOOKUP($B123&amp;"__wt",'SegEnds_Xtal_BW#'!$A:$Z,25,FALSE)</f>
        <v>50</v>
      </c>
      <c r="Z123" s="1">
        <f>VLOOKUP($B123&amp;"__wt",'SegEnds_Xtal_BW#'!$A:$Z,26,FALSE)</f>
        <v>63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51</v>
      </c>
      <c r="AI123" s="1">
        <f>VLOOKUP(A123,'SegEnds_NonXtal_Prot#'!A:AL,31,FALSE)-VLOOKUP(A123,'SegEnds_NonXtal_Prot#'!A:AL,28,FALSE)</f>
        <v>46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258</v>
      </c>
      <c r="B124" s="1" t="str">
        <f>VLOOKUP(A124,Xtal_Templ!A:B,2,FALSE)</f>
        <v>5ht1b_human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INDEX(ICL3_classA!$G$2:$G$39,MATCH(MIN(ABS(AI124-ICL3_classA!$F$2:$F$39)),ABS(AI124-ICL3_classA!$F$2:$F$39),0))</f>
        <v>76</v>
      </c>
      <c r="U124" s="1">
        <f t="array" ref="U124">INDEX(ICL3_classA!$H$2:$H$39,MATCH(MIN(ABS(AI124-ICL3_classA!$F$2:$F$39)),ABS(AI124-ICL3_classA!$F$2:$F$39),0))</f>
        <v>24</v>
      </c>
      <c r="V124" s="1">
        <v>61</v>
      </c>
      <c r="W124" s="131">
        <f>VLOOKUP($B124&amp;"__wt",'SegEnds_Xtal_BW#'!$A:$Z,23,FALSE)</f>
        <v>31</v>
      </c>
      <c r="X124" s="124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 t="e">
        <f>VLOOKUP(A124,'SegEnds_NonXtal_Prot#'!A:AL,22,FALSE)-VLOOKUP(A124,'SegEnds_NonXtal_Prot#'!A:AL,19,FALSE)</f>
        <v>#VALUE!</v>
      </c>
      <c r="AG124" s="1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51</v>
      </c>
      <c r="AI124" s="1">
        <f>VLOOKUP(A124,'SegEnds_NonXtal_Prot#'!A:AL,31,FALSE)-VLOOKUP(A124,'SegEnds_NonXtal_Prot#'!A:AL,28,FALSE)</f>
        <v>75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264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35</v>
      </c>
      <c r="T125" s="1">
        <f t="array" ref="T125">INDEX(ICL3_classA!$G$2:$G$39,MATCH(MIN(ABS(AI125-ICL3_classA!$F$2:$F$39)),ABS(AI125-ICL3_classA!$F$2:$F$39),0))</f>
        <v>76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31">
        <f>VLOOKUP($B125&amp;"__wt",'SegEnds_Xtal_BW#'!$A:$Z,23,FALSE)</f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51</v>
      </c>
      <c r="AI125" s="1">
        <f>VLOOKUP(A125,'SegEnds_NonXtal_Prot#'!A:AL,31,FALSE)-VLOOKUP(A125,'SegEnds_NonXtal_Prot#'!A:AL,28,FALSE)</f>
        <v>75</v>
      </c>
      <c r="AJ125" s="1">
        <f>VLOOKUP(A125,'SegEnds_NonXtal_Prot#'!A:AL,34,FALSE)-VLOOKUP(A125,'SegEnds_NonXtal_Prot#'!A:AL,31,FALSE)</f>
        <v>39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278</v>
      </c>
      <c r="B126" s="1" t="str">
        <f>VLOOKUP(A126,Xtal_Templ!A:B,2,FALSE)</f>
        <v>adrb2_human</v>
      </c>
      <c r="C126" s="5">
        <f>VLOOKUP($B126&amp;"__wt",'SegEnds_Xtal_BW#'!$A:$Z,3,FALSE)</f>
        <v>25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INDEX(ICL3_classA!$G$2:$G$39,MATCH(MIN(ABS(AI126-ICL3_classA!$F$2:$F$39)),ABS(AI126-ICL3_classA!$F$2:$F$39),0))</f>
        <v>73</v>
      </c>
      <c r="U126" s="1">
        <f t="array" ref="U126">INDEX(ICL3_classA!$H$2:$H$39,MATCH(MIN(ABS(AI126-ICL3_classA!$F$2:$F$39)),ABS(AI126-ICL3_classA!$F$2:$F$39),0))</f>
        <v>22</v>
      </c>
      <c r="V126" s="1">
        <v>61</v>
      </c>
      <c r="W126" s="1">
        <v>31</v>
      </c>
      <c r="X126" s="108"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20</v>
      </c>
      <c r="AH126" s="1">
        <f>VLOOKUP(A126,'SegEnds_NonXtal_Prot#'!A:AL,28,FALSE)-VLOOKUP(A126,'SegEnds_NonXtal_Prot#'!A:AL,22,FALSE)</f>
        <v>51</v>
      </c>
      <c r="AI126" s="1">
        <f>VLOOKUP(A126,'SegEnds_NonXtal_Prot#'!A:AL,31,FALSE)-VLOOKUP(A126,'SegEnds_NonXtal_Prot#'!A:AL,28,FALSE)</f>
        <v>55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291</v>
      </c>
      <c r="B127" s="1" t="str">
        <f>VLOOKUP(A127,Xtal_Templ!A:B,2,FALSE)</f>
        <v>ccr7_human</v>
      </c>
      <c r="C127" s="5">
        <f>VLOOKUP($B127&amp;"__wt",'SegEnds_Xtal_BW#'!$A:$Z,3,FALSE)</f>
        <v>29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08">
        <v>29</v>
      </c>
      <c r="T127" s="1">
        <f t="array" ref="T127">INDEX(ICL3_classA!$G$2:$G$39,MATCH(MIN(ABS(AI127-ICL3_classA!$F$2:$F$39)),ABS(AI127-ICL3_classA!$F$2:$F$39),0))</f>
        <v>68</v>
      </c>
      <c r="U127" s="1">
        <f t="array" ref="U127">INDEX(ICL3_classA!$H$2:$H$39,MATCH(MIN(ABS(AI127-ICL3_classA!$F$2:$F$39)),ABS(AI127-ICL3_classA!$F$2:$F$39),0))</f>
        <v>30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19</v>
      </c>
      <c r="AE127" s="1">
        <f>VLOOKUP(A127,'SegEnds_NonXtal_Prot#'!A:AL,16,FALSE)-VLOOKUP(A127,'SegEnds_NonXtal_Prot#'!A:AL,10,FALSE)</f>
        <v>51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25</v>
      </c>
      <c r="AH127" s="1">
        <f>VLOOKUP(A127,'SegEnds_NonXtal_Prot#'!A:AL,28,FALSE)-VLOOKUP(A127,'SegEnds_NonXtal_Prot#'!A:AL,22,FALSE)</f>
        <v>51</v>
      </c>
      <c r="AI127" s="1">
        <f>VLOOKUP(A127,'SegEnds_NonXtal_Prot#'!A:AL,31,FALSE)-VLOOKUP(A127,'SegEnds_NonXtal_Prot#'!A:AL,28,FALSE)</f>
        <v>43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299</v>
      </c>
      <c r="B128" s="1" t="str">
        <f>VLOOKUP(A128,Xtal_Templ!A:B,2,FALSE)</f>
        <v>oprd_human</v>
      </c>
      <c r="C128" s="5">
        <f>VLOOKUP($B128&amp;"__wt",'SegEnds_Xtal_BW#'!$A:$Z,3,FALSE)</f>
        <v>22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73</v>
      </c>
      <c r="U128" s="1">
        <f t="array" ref="U128">INDEX(ICL3_classA!$H$2:$H$39,MATCH(MIN(ABS(AI128-ICL3_classA!$F$2:$F$39)),ABS(AI128-ICL3_classA!$F$2:$F$39),0))</f>
        <v>22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27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25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37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315</v>
      </c>
      <c r="B129" s="1" t="str">
        <f>VLOOKUP(A129,Xtal_Templ!A:B,2,FALSE)</f>
        <v>nk1r_human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INDEX(ICL3_classA!$G$2:$G$39,MATCH(MIN(ABS(AI129-ICL3_classA!$F$2:$F$39)),ABS(AI129-ICL3_classA!$F$2:$F$39),0))</f>
        <v>73</v>
      </c>
      <c r="U129" s="1">
        <f t="array" ref="U129">INDEX(ICL3_classA!$H$2:$H$39,MATCH(MIN(ABS(AI129-ICL3_classA!$F$2:$F$39)),ABS(AI129-ICL3_classA!$F$2:$F$39),0))</f>
        <v>22</v>
      </c>
      <c r="V129" s="1">
        <v>61</v>
      </c>
      <c r="W129" s="131">
        <f>VLOOKUP($B129&amp;"__wt",'SegEnds_Xtal_BW#'!$A:$Z,23,FALSE)</f>
        <v>30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58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55</v>
      </c>
      <c r="AJ129" s="1">
        <f>VLOOKUP(A129,'SegEnds_NonXtal_Prot#'!A:AL,34,FALSE)-VLOOKUP(A129,'SegEnds_NonXtal_Prot#'!A:AL,31,FALSE)</f>
        <v>39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323</v>
      </c>
      <c r="B130" s="1" t="str">
        <f>VLOOKUP(A130,Xtal_Templ!A:B,2,FALSE)</f>
        <v>5ht2c_human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53</v>
      </c>
      <c r="O130" s="87">
        <v>38</v>
      </c>
      <c r="P130" s="1">
        <f>VLOOKUP($B130&amp;"__wt",'SegEnds_Xtal_BW#'!$A:$Z,16,FALSE)</f>
        <v>67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INDEX(ICL3_classA!$G$2:$G$39,MATCH(MIN(ABS(AI130-ICL3_classA!$F$2:$F$39)),ABS(AI130-ICL3_classA!$F$2:$F$39),0))</f>
        <v>76</v>
      </c>
      <c r="U130" s="1">
        <f t="array" ref="U130">INDEX(ICL3_classA!$H$2:$H$39,MATCH(MIN(ABS(AI130-ICL3_classA!$F$2:$F$39)),ABS(AI130-ICL3_classA!$F$2:$F$39),0))</f>
        <v>24</v>
      </c>
      <c r="V130" s="1">
        <v>61</v>
      </c>
      <c r="W130" s="131">
        <f>VLOOKUP($B130&amp;"__wt",'SegEnds_Xtal_BW#'!$A:$Z,23,FALSE)</f>
        <v>27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18</v>
      </c>
      <c r="AG130" s="1">
        <f>VLOOKUP(A130,'SegEnds_NonXtal_Prot#'!A:AL,28,FALSE)-VLOOKUP(A130,'SegEnds_NonXtal_Prot#'!A:AL,25,FALSE)</f>
        <v>25</v>
      </c>
      <c r="AH130" s="1">
        <f>VLOOKUP(A130,'SegEnds_NonXtal_Prot#'!A:AL,28,FALSE)-VLOOKUP(A130,'SegEnds_NonXtal_Prot#'!A:AL,22,FALSE)</f>
        <v>51</v>
      </c>
      <c r="AI130" s="1">
        <f>VLOOKUP(A130,'SegEnds_NonXtal_Prot#'!A:AL,31,FALSE)-VLOOKUP(A130,'SegEnds_NonXtal_Prot#'!A:AL,28,FALSE)</f>
        <v>67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330</v>
      </c>
      <c r="B131" s="1" t="str">
        <f>VLOOKUP(A131,Xtal_Templ!A:B,2,FALSE)</f>
        <v>ptafr_human</v>
      </c>
      <c r="C131" s="5">
        <f>VLOOKUP($B131&amp;"__wt",'SegEnds_Xtal_BW#'!$A:$Z,3,FALSE)</f>
        <v>27</v>
      </c>
      <c r="D131" s="108">
        <v>60</v>
      </c>
      <c r="E131" s="108">
        <v>48</v>
      </c>
      <c r="F131" s="108"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33</v>
      </c>
      <c r="T131" s="1">
        <f t="array" ref="T131">INDEX(ICL3_classA!$G$2:$G$39,MATCH(MIN(ABS(AI131-ICL3_classA!$F$2:$F$39)),ABS(AI131-ICL3_classA!$F$2:$F$39),0))</f>
        <v>67</v>
      </c>
      <c r="U131" s="1">
        <f t="array" ref="U131">INDEX(ICL3_classA!$H$2:$H$39,MATCH(MIN(ABS(AI131-ICL3_classA!$F$2:$F$39)),ABS(AI131-ICL3_classA!$F$2:$F$39),0))</f>
        <v>26</v>
      </c>
      <c r="V131" s="1">
        <v>61</v>
      </c>
      <c r="W131" s="1">
        <v>28</v>
      </c>
      <c r="X131" s="1">
        <f>VLOOKUP($B131&amp;"__wt",'SegEnds_Xtal_BW#'!$A:$Z,24,FALSE)</f>
        <v>59</v>
      </c>
      <c r="Y131" s="1">
        <f>VLOOKUP($B131&amp;"__wt",'SegEnds_Xtal_BW#'!$A:$Z,25,FALSE)</f>
        <v>50</v>
      </c>
      <c r="Z131" s="1">
        <f>VLOOKUP($B131&amp;"__wt",'SegEnds_Xtal_BW#'!$A:$Z,26,FALSE)</f>
        <v>63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25</v>
      </c>
      <c r="AH131" s="1">
        <f>VLOOKUP(A131,'SegEnds_NonXtal_Prot#'!A:AL,28,FALSE)-VLOOKUP(A131,'SegEnds_NonXtal_Prot#'!A:AL,22,FALSE)</f>
        <v>51</v>
      </c>
      <c r="AI131" s="1">
        <f>VLOOKUP(A131,'SegEnds_NonXtal_Prot#'!A:AL,31,FALSE)-VLOOKUP(A131,'SegEnds_NonXtal_Prot#'!A:AL,28,FALSE)</f>
        <v>46</v>
      </c>
      <c r="AJ131" s="1">
        <f>VLOOKUP(A131,'SegEnds_NonXtal_Prot#'!A:AL,34,FALSE)-VLOOKUP(A131,'SegEnds_NonXtal_Prot#'!A:AL,31,FALSE)</f>
        <v>40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4" t="s">
        <v>343</v>
      </c>
      <c r="B132" s="4" t="str">
        <f>VLOOKUP(A132,Xtal_Templ!A:B,2,FALSE)</f>
        <v>ox1r_human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">
        <v>66</v>
      </c>
      <c r="I132" s="4">
        <f>VLOOKUP($B132&amp;"__wt",'SegEnds_Xtal_BW#'!$A:$Z,9,FALSE)</f>
        <v>49</v>
      </c>
      <c r="J132" s="4">
        <f>VLOOKUP($B132&amp;"__wt",'SegEnds_Xtal_BW#'!$A:$Z,10,FALSE)</f>
        <v>52</v>
      </c>
      <c r="K132" s="11">
        <v>18</v>
      </c>
      <c r="L132" s="4">
        <f>VLOOKUP($B132&amp;"__wt",'SegEnds_Xtal_BW#'!$A:$Z,12,FALSE)</f>
        <v>56</v>
      </c>
      <c r="M132" s="4">
        <f>VLOOKUP($B132&amp;"__wt",'SegEnds_Xtal_BW#'!$A:$Z,13,FALSE)</f>
        <v>50</v>
      </c>
      <c r="N132" s="11">
        <v>55</v>
      </c>
      <c r="O132" s="88">
        <v>38</v>
      </c>
      <c r="P132" s="4">
        <f>VLOOKUP($B132&amp;"__wt",'SegEnds_Xtal_BW#'!$A:$Z,16,FALSE)</f>
        <v>64</v>
      </c>
      <c r="Q132" s="4">
        <f>VLOOKUP($B132&amp;"__wt",'SegEnds_Xtal_BW#'!$A:$Z,17,FALSE)</f>
        <v>50</v>
      </c>
      <c r="R132" s="4">
        <f>VLOOKUP($B132&amp;"__wt",'SegEnds_Xtal_BW#'!$A:$Z,18,FALSE)</f>
        <v>52</v>
      </c>
      <c r="S132" s="4">
        <f>VLOOKUP($B132&amp;"__wt",'SegEnds_Xtal_BW#'!$A:$Z,19,FALSE)</f>
        <v>33</v>
      </c>
      <c r="T132" s="4">
        <f t="array" ref="T132">INDEX(ICL3_classA!$G$2:$G$39,MATCH(MIN(ABS(AI132-ICL3_classA!$F$2:$F$39)),ABS(AI132-ICL3_classA!$F$2:$F$39),0))</f>
        <v>76</v>
      </c>
      <c r="U132" s="4">
        <f t="array" ref="U132">INDEX(ICL3_classA!$H$2:$H$39,MATCH(MIN(ABS(AI132-ICL3_classA!$F$2:$F$39)),ABS(AI132-ICL3_classA!$F$2:$F$39),0))</f>
        <v>24</v>
      </c>
      <c r="V132" s="4">
        <v>61</v>
      </c>
      <c r="W132" s="4"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4">
        <f>VLOOKUP(A132,'SegEnds_NonXtal_Prot#'!A:AL,10,FALSE)-VLOOKUP(A132,'SegEnds_NonXtal_Prot#'!A:AL,7,FALSE)</f>
        <v>15</v>
      </c>
      <c r="AD132" s="4">
        <f>VLOOKUP(A132,'SegEnds_NonXtal_Prot#'!A:AL,13,FALSE)-VLOOKUP(A132,'SegEnds_NonXtal_Prot#'!A:AL,10,FALSE)</f>
        <v>18</v>
      </c>
      <c r="AE132" s="4">
        <f>VLOOKUP(A132,'SegEnds_NonXtal_Prot#'!A:AL,16,FALSE)-VLOOKUP(A132,'SegEnds_NonXtal_Prot#'!A:AL,10,FALSE)</f>
        <v>52</v>
      </c>
      <c r="AF132" s="1" t="e">
        <f>VLOOKUP(A132,'SegEnds_NonXtal_Prot#'!A:AL,22,FALSE)-VLOOKUP(A132,'SegEnds_NonXtal_Prot#'!A:AL,19,FALSE)</f>
        <v>#VALUE!</v>
      </c>
      <c r="AG132" s="4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4">
        <f>VLOOKUP(A132,'SegEnds_NonXtal_Prot#'!A:AL,31,FALSE)-VLOOKUP(A132,'SegEnds_NonXtal_Prot#'!A:AL,28,FALSE)</f>
        <v>78</v>
      </c>
      <c r="AJ132" s="4">
        <f>VLOOKUP(A132,'SegEnds_NonXtal_Prot#'!A:AL,34,FALSE)-VLOOKUP(A132,'SegEnds_NonXtal_Prot#'!A:AL,31,FALSE)</f>
        <v>36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363</v>
      </c>
      <c r="B133" s="1" t="str">
        <f>VLOOKUP(A133,Xtal_Templ!A:B,2,FALSE)</f>
        <v>pe2r4_human</v>
      </c>
      <c r="C133" s="5">
        <f>VLOOKUP($B133&amp;"__wt",'SegEnds_Xtal_BW#'!$A:$Z,3,FALSE)</f>
        <v>33</v>
      </c>
      <c r="D133" s="1">
        <f>VLOOKUP($B133&amp;"__wt",'SegEnds_Xtal_BW#'!$A:$Z,4,FALSE)</f>
        <v>58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INDEX(ICL3_classA!$G$2:$G$39,MATCH(MIN(ABS(AI133-ICL3_classA!$F$2:$F$39)),ABS(AI133-ICL3_classA!$F$2:$F$39),0))</f>
        <v>76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31">
        <f>VLOOKUP($B133&amp;"__wt",'SegEnds_Xtal_BW#'!$A:$Z,23,FALSE)</f>
        <v>33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92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1445</v>
      </c>
      <c r="B134" s="1" t="s">
        <v>1445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INDEX(ICL3_classA!$G$2:$G$39,MATCH(MIN(ABS(AI134-ICL3_classA!$F$2:$F$39)),ABS(AI134-ICL3_classA!$F$2:$F$39),0))</f>
        <v>68</v>
      </c>
      <c r="U134" s="1">
        <f t="array" ref="U134">INDEX(ICL3_classA!$H$2:$H$39,MATCH(MIN(ABS(AI134-ICL3_classA!$F$2:$F$39)),ABS(AI134-ICL3_classA!$F$2:$F$39),0))</f>
        <v>30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51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43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161</v>
      </c>
      <c r="B135" s="1" t="str">
        <f>VLOOKUP(A135,Xtal_Templ!A:B,2,FALSE)</f>
        <v>agtr1_human</v>
      </c>
      <c r="C135" s="5">
        <f>VLOOKUP($B135&amp;"__wt",'SegEnds_Xtal_BW#'!$A:$Z,3,FALSE)</f>
        <v>28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INDEX(ICL3_classA!$G$2:$G$39,MATCH(MIN(ABS(AI135-ICL3_classA!$F$2:$F$39)),ABS(AI135-ICL3_classA!$F$2:$F$39),0))</f>
        <v>68</v>
      </c>
      <c r="U135" s="1">
        <f t="array" ref="U135">INDEX(ICL3_classA!$H$2:$H$39,MATCH(MIN(ABS(AI135-ICL3_classA!$F$2:$F$39)),ABS(AI135-ICL3_classA!$F$2:$F$39),0))</f>
        <v>23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52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44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172</v>
      </c>
      <c r="B136" s="1" t="str">
        <f>VLOOKUP(A136,Xtal_Templ!A:B,2,FALSE)</f>
        <v>ccr5_human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f>VLOOKUP($B136&amp;"__wt",'SegEnds_Xtal_BW#'!$A:$Z,14,FALSE)</f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68</v>
      </c>
      <c r="U136" s="1">
        <f t="array" ref="U136">INDEX(ICL3_classA!$H$2:$H$39,MATCH(MIN(ABS(AI136-ICL3_classA!$F$2:$F$39)),ABS(AI136-ICL3_classA!$F$2:$F$39),0))</f>
        <v>30</v>
      </c>
      <c r="V136" s="1">
        <v>65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18</v>
      </c>
      <c r="AE136" s="1">
        <f>VLOOKUP(A136,'SegEnds_NonXtal_Prot#'!A:AL,16,FALSE)-VLOOKUP(A136,'SegEnds_NonXtal_Prot#'!A:AL,10,FALSE)</f>
        <v>50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43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2" t="s">
        <v>175</v>
      </c>
      <c r="B137" s="12" t="str">
        <f>VLOOKUP(A137,Xtal_Templ!A:B,2,FALSE)</f>
        <v>ccr7_human</v>
      </c>
      <c r="C137" s="13">
        <f>VLOOKUP($B137&amp;"__wt",'SegEnds_Xtal_BW#'!$A:$Z,3,FALSE)</f>
        <v>29</v>
      </c>
      <c r="D137" s="12">
        <f>VLOOKUP($B137&amp;"__wt",'SegEnds_Xtal_BW#'!$A:$Z,4,FALSE)</f>
        <v>60</v>
      </c>
      <c r="E137" s="12">
        <f>VLOOKUP($B137&amp;"__wt",'SegEnds_Xtal_BW#'!$A:$Z,5,FALSE)</f>
        <v>48</v>
      </c>
      <c r="F137" s="12">
        <f>VLOOKUP($B137&amp;"__wt",'SegEnds_Xtal_BW#'!$A:$Z,6,FALSE)</f>
        <v>51</v>
      </c>
      <c r="G137" s="12">
        <v>37</v>
      </c>
      <c r="H137" s="12">
        <v>66</v>
      </c>
      <c r="I137" s="12">
        <f>VLOOKUP($B137&amp;"__wt",'SegEnds_Xtal_BW#'!$A:$Z,9,FALSE)</f>
        <v>49</v>
      </c>
      <c r="J137" s="12">
        <f>VLOOKUP($B137&amp;"__wt",'SegEnds_Xtal_BW#'!$A:$Z,10,FALSE)</f>
        <v>52</v>
      </c>
      <c r="K137" s="12">
        <v>24</v>
      </c>
      <c r="L137" s="12">
        <f>VLOOKUP($B137&amp;"__wt",'SegEnds_Xtal_BW#'!$A:$Z,12,FALSE)</f>
        <v>56</v>
      </c>
      <c r="M137" s="12">
        <f>VLOOKUP($B137&amp;"__wt",'SegEnds_Xtal_BW#'!$A:$Z,13,FALSE)</f>
        <v>50</v>
      </c>
      <c r="N137" s="12">
        <v>58</v>
      </c>
      <c r="O137" s="87">
        <v>38</v>
      </c>
      <c r="P137" s="12">
        <f>VLOOKUP($B137&amp;"__wt",'SegEnds_Xtal_BW#'!$A:$Z,16,FALSE)</f>
        <v>64</v>
      </c>
      <c r="Q137" s="12">
        <f>VLOOKUP($B137&amp;"__wt",'SegEnds_Xtal_BW#'!$A:$Z,17,FALSE)</f>
        <v>50</v>
      </c>
      <c r="R137" s="12">
        <f>VLOOKUP($B137&amp;"__wt",'SegEnds_Xtal_BW#'!$A:$Z,18,FALSE)</f>
        <v>52</v>
      </c>
      <c r="S137" s="12">
        <f>VLOOKUP($B137&amp;"__wt",'SegEnds_Xtal_BW#'!$A:$Z,19,FALSE)</f>
        <v>33</v>
      </c>
      <c r="T137" s="12">
        <f t="array" ref="T137">INDEX(ICL3_classA!$G$2:$G$39,MATCH(MIN(ABS(AI137-ICL3_classA!$F$2:$F$39)),ABS(AI137-ICL3_classA!$F$2:$F$39),0))</f>
        <v>68</v>
      </c>
      <c r="U137" s="12">
        <f t="array" ref="U137">INDEX(ICL3_classA!$H$2:$H$39,MATCH(MIN(ABS(AI137-ICL3_classA!$F$2:$F$39)),ABS(AI137-ICL3_classA!$F$2:$F$39),0))</f>
        <v>30</v>
      </c>
      <c r="V137" s="12">
        <v>65</v>
      </c>
      <c r="W137" s="12">
        <v>24</v>
      </c>
      <c r="X137" s="12">
        <f>VLOOKUP($B137&amp;"__wt",'SegEnds_Xtal_BW#'!$A:$Z,24,FALSE)</f>
        <v>56</v>
      </c>
      <c r="Y137" s="12">
        <f>VLOOKUP($B137&amp;"__wt",'SegEnds_Xtal_BW#'!$A:$Z,25,FALSE)</f>
        <v>47</v>
      </c>
      <c r="Z137" s="12">
        <f>VLOOKUP($B137&amp;"__wt",'SegEnds_Xtal_BW#'!$A:$Z,26,FALSE)</f>
        <v>59</v>
      </c>
      <c r="AA137" s="36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2">
        <f>VLOOKUP(A137,'SegEnds_NonXtal_Prot#'!A:AL,10,FALSE)-VLOOKUP(A137,'SegEnds_NonXtal_Prot#'!A:AL,7,FALSE)</f>
        <v>15</v>
      </c>
      <c r="AD137" s="12">
        <f>VLOOKUP(A137,'SegEnds_NonXtal_Prot#'!A:AL,13,FALSE)-VLOOKUP(A137,'SegEnds_NonXtal_Prot#'!A:AL,10,FALSE)</f>
        <v>18</v>
      </c>
      <c r="AE137" s="12">
        <f>VLOOKUP(A137,'SegEnds_NonXtal_Prot#'!A:AL,16,FALSE)-VLOOKUP(A137,'SegEnds_NonXtal_Prot#'!A:AL,10,FALSE)</f>
        <v>50</v>
      </c>
      <c r="AF137" s="1">
        <f>VLOOKUP(A137,'SegEnds_NonXtal_Prot#'!A:AL,22,FALSE)-VLOOKUP(A137,'SegEnds_NonXtal_Prot#'!A:AL,19,FALSE)</f>
        <v>22</v>
      </c>
      <c r="AG137" s="12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52</v>
      </c>
      <c r="AI137" s="12">
        <f>VLOOKUP(A137,'SegEnds_NonXtal_Prot#'!A:AL,31,FALSE)-VLOOKUP(A137,'SegEnds_NonXtal_Prot#'!A:AL,28,FALSE)</f>
        <v>43</v>
      </c>
      <c r="AJ137" s="12">
        <f>VLOOKUP(A137,'SegEnds_NonXtal_Prot#'!A:AL,34,FALSE)-VLOOKUP(A137,'SegEnds_NonXtal_Prot#'!A:AL,31,FALSE)</f>
        <v>45</v>
      </c>
      <c r="AK137" s="1">
        <f>VLOOKUP(A137,'SegEnds_NonXtal_Prot#'!A:AL,37,FALSE)-VLOOKUP(A137,'SegEnds_NonXtal_Prot#'!A:AL,34,FALSE)</f>
        <v>10</v>
      </c>
      <c r="AL137" s="12" t="str">
        <f>IF(ISERROR(MATCH(A137,'SegEnds_Xtal_Prot#'!B:B, 0)), "NoXtal", "Xtal")</f>
        <v>Xtal</v>
      </c>
    </row>
    <row r="138" spans="1:38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INDEX(ICL3_classA!$G$2:$G$39,MATCH(MIN(ABS(AI138-ICL3_classA!$F$2:$F$39)),ABS(AI138-ICL3_classA!$F$2:$F$39),0))</f>
        <v>68</v>
      </c>
      <c r="U138" s="1">
        <f t="array" ref="U138">INDEX(ICL3_classA!$H$2:$H$39,MATCH(MIN(ABS(AI138-ICL3_classA!$F$2:$F$39)),ABS(AI138-ICL3_classA!$F$2:$F$39),0))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50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44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204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72</v>
      </c>
      <c r="U139" s="1">
        <f t="array" ref="U139">INDEX(ICL3_classA!$H$2:$H$39,MATCH(MIN(ABS(AI139-ICL3_classA!$F$2:$F$39)),ABS(AI139-ICL3_classA!$F$2:$F$39),0))</f>
        <v>29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30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50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222</v>
      </c>
      <c r="B140" s="1" t="str">
        <f>VLOOKUP(A140,Xtal_Templ!A:B,2,FALSE)</f>
        <v>agtr2_human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47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56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INDEX(ICL3_classA!$G$2:$G$39,MATCH(MIN(ABS(AI140-ICL3_classA!$F$2:$F$39)),ABS(AI140-ICL3_classA!$F$2:$F$39),0))</f>
        <v>68</v>
      </c>
      <c r="U140" s="1">
        <f t="array" ref="U140">INDEX(ICL3_classA!$H$2:$H$39,MATCH(MIN(ABS(AI140-ICL3_classA!$F$2:$F$39)),ABS(AI140-ICL3_classA!$F$2:$F$39),0))</f>
        <v>23</v>
      </c>
      <c r="V140" s="1">
        <v>61</v>
      </c>
      <c r="W140" s="108">
        <v>25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30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19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228</v>
      </c>
      <c r="B141" s="1" t="str">
        <f>VLOOKUP(A141,Xtal_Templ!A:B,2,FALSE)</f>
        <v>p2y12_human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 t="str">
        <f>VLOOKUP($B141&amp;"__wt",'SegEnds_Xtal_BW#'!$A:$Z,9,FALSE)</f>
        <v>-</v>
      </c>
      <c r="J141" s="1" t="str">
        <f>VLOOKUP($B141&amp;"__wt",'SegEnds_Xtal_BW#'!$A:$Z,10,FALSE)</f>
        <v>-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INDEX(ICL3_classA!$G$2:$G$39,MATCH(MIN(ABS(AI141-ICL3_classA!$F$2:$F$39)),ABS(AI141-ICL3_classA!$F$2:$F$39),0))</f>
        <v>67</v>
      </c>
      <c r="U141" s="1">
        <f t="array" ref="U141">INDEX(ICL3_classA!$H$2:$H$39,MATCH(MIN(ABS(AI141-ICL3_classA!$F$2:$F$39)),ABS(AI141-ICL3_classA!$F$2:$F$39),0))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57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44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232</v>
      </c>
      <c r="B142" s="1" t="str">
        <f>VLOOKUP(A142,Xtal_Templ!A:B,2,FALSE)</f>
        <v>apj_human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52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INDEX(ICL3_classA!$G$2:$G$39,MATCH(MIN(ABS(AI142-ICL3_classA!$F$2:$F$39)),ABS(AI142-ICL3_classA!$F$2:$F$39),0))</f>
        <v>68</v>
      </c>
      <c r="U142" s="1">
        <f t="array" ref="U142">INDEX(ICL3_classA!$H$2:$H$39,MATCH(MIN(ABS(AI142-ICL3_classA!$F$2:$F$39)),ABS(AI142-ICL3_classA!$F$2:$F$39),0))</f>
        <v>30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28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43</v>
      </c>
      <c r="AJ142" s="1">
        <f>VLOOKUP(A142,'SegEnds_NonXtal_Prot#'!A:AL,34,FALSE)-VLOOKUP(A142,'SegEnds_NonXtal_Prot#'!A:AL,31,FALSE)</f>
        <v>44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233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46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271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27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26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49</v>
      </c>
      <c r="AJ144" s="1">
        <f>VLOOKUP(A144,'SegEnds_NonXtal_Prot#'!A:AL,34,FALSE)-VLOOKUP(A144,'SegEnds_NonXtal_Prot#'!A:AL,31,FALSE)</f>
        <v>44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298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INDEX(ICL3_classA!$G$2:$G$39,MATCH(MIN(ABS(AI145-ICL3_classA!$F$2:$F$39)),ABS(AI145-ICL3_classA!$F$2:$F$39),0))</f>
        <v>68</v>
      </c>
      <c r="U145" s="1">
        <f t="array" ref="U145">INDEX(ICL3_classA!$H$2:$H$39,MATCH(MIN(ABS(AI145-ICL3_classA!$F$2:$F$39)),ABS(AI145-ICL3_classA!$F$2:$F$39),0))</f>
        <v>23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31</v>
      </c>
      <c r="AC145" s="1">
        <f>VLOOKUP(A145,'SegEnds_NonXtal_Prot#'!A:AL,10,FALSE)-VLOOKUP(A145,'SegEnds_NonXtal_Prot#'!A:AL,7,FALSE)</f>
        <v>18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319</v>
      </c>
      <c r="B146" s="1" t="str">
        <f>VLOOKUP(A146,Xtal_Templ!A:B,2,FALSE)</f>
        <v>oprd_human</v>
      </c>
      <c r="C146" s="5">
        <f>VLOOKUP($B146&amp;"__wt",'SegEnds_Xtal_BW#'!$A:$Z,3,FALSE)</f>
        <v>22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INDEX(ICL3_classA!$G$2:$G$39,MATCH(MIN(ABS(AI146-ICL3_classA!$F$2:$F$39)),ABS(AI146-ICL3_classA!$F$2:$F$39),0))</f>
        <v>68</v>
      </c>
      <c r="U146" s="1">
        <f t="array" ref="U146">INDEX(ICL3_classA!$H$2:$H$39,MATCH(MIN(ABS(AI146-ICL3_classA!$F$2:$F$39)),ABS(AI146-ICL3_classA!$F$2:$F$39),0))</f>
        <v>23</v>
      </c>
      <c r="V146" s="1">
        <v>61</v>
      </c>
      <c r="W146" s="131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331</v>
      </c>
      <c r="B147" s="1" t="str">
        <f>VLOOKUP(A147,Xtal_Templ!A:B,2,FALSE)</f>
        <v>opsd_bovin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INDEX(ICL3_classA!$G$2:$G$39,MATCH(MIN(ABS(AI147-ICL3_classA!$F$2:$F$39)),ABS(AI147-ICL3_classA!$F$2:$F$39),0))</f>
        <v>73</v>
      </c>
      <c r="U147" s="1">
        <f t="array" ref="U147">INDEX(ICL3_classA!$H$2:$H$39,MATCH(MIN(ABS(AI147-ICL3_classA!$F$2:$F$39)),ABS(AI147-ICL3_classA!$F$2:$F$39),0))</f>
        <v>22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26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56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332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INDEX(ICL3_classA!$G$2:$G$39,MATCH(MIN(ABS(AI148-ICL3_classA!$F$2:$F$39)),ABS(AI148-ICL3_classA!$F$2:$F$39),0))</f>
        <v>74</v>
      </c>
      <c r="U148" s="1">
        <f t="array" ref="U148">INDEX(ICL3_classA!$H$2:$H$39,MATCH(MIN(ABS(AI148-ICL3_classA!$F$2:$F$39)),ABS(AI148-ICL3_classA!$F$2:$F$39),0))</f>
        <v>21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26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64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334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23</v>
      </c>
      <c r="V149" s="1">
        <v>61</v>
      </c>
      <c r="W149" s="131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27</v>
      </c>
      <c r="AH149" s="1">
        <f>VLOOKUP(A149,'SegEnds_NonXtal_Prot#'!A:AL,28,FALSE)-VLOOKUP(A149,'SegEnds_NonXtal_Prot#'!A:AL,22,FALSE)</f>
        <v>52</v>
      </c>
      <c r="AI149" s="1">
        <f>VLOOKUP(A149,'SegEnds_NonXtal_Prot#'!A:AL,31,FALSE)-VLOOKUP(A149,'SegEnds_NonXtal_Prot#'!A:AL,28,FALSE)</f>
        <v>51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909</v>
      </c>
      <c r="B150" s="1" t="str">
        <f>VLOOKUP(A150,Xtal_Templ!A:B,2,FALSE)</f>
        <v>oprd_mouse</v>
      </c>
      <c r="C150" s="5">
        <f>VLOOKUP($B150&amp;"__wt",'SegEnds_Xtal_BW#'!$A:$Z,3,FALSE)</f>
        <v>24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f>VLOOKUP($B150&amp;"__wt",'SegEnds_Xtal_BW#'!$A:$Z,11,FALSE)</f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23</v>
      </c>
      <c r="V150" s="1">
        <v>61</v>
      </c>
      <c r="W150" s="131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19</v>
      </c>
      <c r="AE150" s="1">
        <f>VLOOKUP(A150,'SegEnds_NonXtal_Prot#'!A:AL,16,FALSE)-VLOOKUP(A150,'SegEnds_NonXtal_Prot#'!A:AL,10,FALSE)</f>
        <v>51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27</v>
      </c>
      <c r="AH150" s="1">
        <f>VLOOKUP(A150,'SegEnds_NonXtal_Prot#'!A:AL,28,FALSE)-VLOOKUP(A150,'SegEnds_NonXtal_Prot#'!A:AL,22,FALSE)</f>
        <v>52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336</v>
      </c>
      <c r="B151" s="1" t="str">
        <f>VLOOKUP(A151,Xtal_Templ!A:B,2,FALSE)</f>
        <v>oprm_mouse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31</v>
      </c>
      <c r="T151" s="1">
        <f t="array" ref="T151">INDEX(ICL3_classA!$G$2:$G$39,MATCH(MIN(ABS(AI151-ICL3_classA!$F$2:$F$39)),ABS(AI151-ICL3_classA!$F$2:$F$39),0))</f>
        <v>68</v>
      </c>
      <c r="U151" s="1">
        <f t="array" ref="U151">INDEX(ICL3_classA!$H$2:$H$39,MATCH(MIN(ABS(AI151-ICL3_classA!$F$2:$F$39)),ABS(AI151-ICL3_classA!$F$2:$F$39),0))</f>
        <v>23</v>
      </c>
      <c r="V151" s="1">
        <v>61</v>
      </c>
      <c r="W151" s="131">
        <f>VLOOKUP($B151&amp;"__wt",'SegEnds_Xtal_BW#'!$A:$Z,23,FALSE)</f>
        <v>28</v>
      </c>
      <c r="X151" s="124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51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51</v>
      </c>
      <c r="AJ151" s="1">
        <f>VLOOKUP(A151,'SegEnds_NonXtal_Prot#'!A:AL,34,FALSE)-VLOOKUP(A151,'SegEnds_NonXtal_Prot#'!A:AL,31,FALSE)</f>
        <v>38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911</v>
      </c>
      <c r="B152" s="1" t="str">
        <f>VLOOKUP(A152,Xtal_Templ!A:B,2,FALSE)</f>
        <v>oprm_mouse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31</v>
      </c>
      <c r="T152" s="1">
        <f t="array" ref="T152">INDEX(ICL3_classA!$G$2:$G$39,MATCH(MIN(ABS(AI152-ICL3_classA!$F$2:$F$39)),ABS(AI152-ICL3_classA!$F$2:$F$39),0))</f>
        <v>68</v>
      </c>
      <c r="U152" s="1">
        <f t="array" ref="U152">INDEX(ICL3_classA!$H$2:$H$39,MATCH(MIN(ABS(AI152-ICL3_classA!$F$2:$F$39)),ABS(AI152-ICL3_classA!$F$2:$F$39),0))</f>
        <v>23</v>
      </c>
      <c r="V152" s="1">
        <v>61</v>
      </c>
      <c r="W152" s="131">
        <f>VLOOKUP($B152&amp;"__wt",'SegEnds_Xtal_BW#'!$A:$Z,23,FALSE)</f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19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27</v>
      </c>
      <c r="AH152" s="1">
        <f>VLOOKUP(A152,'SegEnds_NonXtal_Prot#'!A:AL,28,FALSE)-VLOOKUP(A152,'SegEnds_NonXtal_Prot#'!A:AL,22,FALSE)</f>
        <v>52</v>
      </c>
      <c r="AI152" s="1">
        <f>VLOOKUP(A152,'SegEnds_NonXtal_Prot#'!A:AL,31,FALSE)-VLOOKUP(A152,'SegEnds_NonXtal_Prot#'!A:AL,28,FALSE)</f>
        <v>51</v>
      </c>
      <c r="AJ152" s="1">
        <f>VLOOKUP(A152,'SegEnds_NonXtal_Prot#'!A:AL,34,FALSE)-VLOOKUP(A152,'SegEnds_NonXtal_Prot#'!A:AL,31,FALSE)</f>
        <v>38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1167</v>
      </c>
      <c r="B153" s="1" t="str">
        <f>VLOOKUP(A153,Xtal_Templ!A:B,2,FALSE)</f>
        <v>oprx_human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f>VLOOKUP($B153&amp;"__wt",'SegEnds_Xtal_BW#'!$A:$Z,11,FALSE)</f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INDEX(ICL3_classA!$G$2:$G$39,MATCH(MIN(ABS(AI153-ICL3_classA!$F$2:$F$39)),ABS(AI153-ICL3_classA!$F$2:$F$39),0))</f>
        <v>68</v>
      </c>
      <c r="U153" s="1">
        <f t="array" ref="U153">INDEX(ICL3_classA!$H$2:$H$39,MATCH(MIN(ABS(AI153-ICL3_classA!$F$2:$F$39)),ABS(AI153-ICL3_classA!$F$2:$F$39),0))</f>
        <v>23</v>
      </c>
      <c r="V153" s="1">
        <v>61</v>
      </c>
      <c r="W153" s="131">
        <f>VLOOKUP($B153&amp;"__wt",'SegEnds_Xtal_BW#'!$A:$Z,23,FALSE)</f>
        <v>28</v>
      </c>
      <c r="X153" s="124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19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27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51</v>
      </c>
      <c r="AJ153" s="1">
        <f>VLOOKUP(A153,'SegEnds_NonXtal_Prot#'!A:AL,34,FALSE)-VLOOKUP(A153,'SegEnds_NonXtal_Prot#'!A:AL,31,FALSE)</f>
        <v>38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Xtal</v>
      </c>
    </row>
    <row r="154" spans="1:38" x14ac:dyDescent="0.2">
      <c r="A154" s="1" t="s">
        <v>915</v>
      </c>
      <c r="B154" s="1" t="str">
        <f>VLOOKUP(A154,Xtal_Templ!A:B,2,FALSE)</f>
        <v>opsd_todpa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69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21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64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342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26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27</v>
      </c>
      <c r="AH155" s="1">
        <f>VLOOKUP(A155,'SegEnds_NonXtal_Prot#'!A:AL,28,FALSE)-VLOOKUP(A155,'SegEnds_NonXtal_Prot#'!A:AL,22,FALSE)</f>
        <v>52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43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345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INDEX(ICL3_classA!$G$2:$G$39,MATCH(MIN(ABS(AI156-ICL3_classA!$F$2:$F$39)),ABS(AI156-ICL3_classA!$F$2:$F$39),0))</f>
        <v>72</v>
      </c>
      <c r="U156" s="1">
        <f t="array" ref="U156">INDEX(ICL3_classA!$H$2:$H$39,MATCH(MIN(ABS(AI156-ICL3_classA!$F$2:$F$39)),ABS(AI156-ICL3_classA!$F$2:$F$39),0))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52</v>
      </c>
      <c r="AI156" s="1">
        <f>VLOOKUP(A156,'SegEnds_NonXtal_Prot#'!A:AL,31,FALSE)-VLOOKUP(A156,'SegEnds_NonXtal_Prot#'!A:AL,28,FALSE)</f>
        <v>50</v>
      </c>
      <c r="AJ156" s="1">
        <f>VLOOKUP(A156,'SegEnds_NonXtal_Prot#'!A:AL,34,FALSE)-VLOOKUP(A156,'SegEnds_NonXtal_Prot#'!A:AL,31,FALSE)</f>
        <v>43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346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52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43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347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INDEX(ICL3_classA!$G$2:$G$39,MATCH(MIN(ABS(AI158-ICL3_classA!$F$2:$F$39)),ABS(AI158-ICL3_classA!$F$2:$F$39),0))</f>
        <v>72</v>
      </c>
      <c r="U158" s="1">
        <f t="array" ref="U158">INDEX(ICL3_classA!$H$2:$H$39,MATCH(MIN(ABS(AI158-ICL3_classA!$F$2:$F$39)),ABS(AI158-ICL3_classA!$F$2:$F$39),0))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21</v>
      </c>
      <c r="AG158" s="1">
        <f>VLOOKUP(A158,'SegEnds_NonXtal_Prot#'!A:AL,28,FALSE)-VLOOKUP(A158,'SegEnds_NonXtal_Prot#'!A:AL,25,FALSE)</f>
        <v>27</v>
      </c>
      <c r="AH158" s="1">
        <f>VLOOKUP(A158,'SegEnds_NonXtal_Prot#'!A:AL,28,FALSE)-VLOOKUP(A158,'SegEnds_NonXtal_Prot#'!A:AL,22,FALSE)</f>
        <v>52</v>
      </c>
      <c r="AI158" s="1">
        <f>VLOOKUP(A158,'SegEnds_NonXtal_Prot#'!A:AL,31,FALSE)-VLOOKUP(A158,'SegEnds_NonXtal_Prot#'!A:AL,28,FALSE)</f>
        <v>50</v>
      </c>
      <c r="AJ158" s="1">
        <f>VLOOKUP(A158,'SegEnds_NonXtal_Prot#'!A:AL,34,FALSE)-VLOOKUP(A158,'SegEnds_NonXtal_Prot#'!A:AL,31,FALSE)</f>
        <v>44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351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INDEX(ICL3_classA!$G$2:$G$39,MATCH(MIN(ABS(AI159-ICL3_classA!$F$2:$F$39)),ABS(AI159-ICL3_classA!$F$2:$F$39),0))</f>
        <v>72</v>
      </c>
      <c r="U159" s="1">
        <f t="array" ref="U159">INDEX(ICL3_classA!$H$2:$H$39,MATCH(MIN(ABS(AI159-ICL3_classA!$F$2:$F$39)),ABS(AI159-ICL3_classA!$F$2:$F$39),0))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27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52</v>
      </c>
      <c r="AI159" s="1">
        <f>VLOOKUP(A159,'SegEnds_NonXtal_Prot#'!A:AL,31,FALSE)-VLOOKUP(A159,'SegEnds_NonXtal_Prot#'!A:AL,28,FALSE)</f>
        <v>50</v>
      </c>
      <c r="AJ159" s="1">
        <f>VLOOKUP(A159,'SegEnds_NonXtal_Prot#'!A:AL,34,FALSE)-VLOOKUP(A159,'SegEnds_NonXtal_Prot#'!A:AL,31,FALSE)</f>
        <v>44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352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27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52</v>
      </c>
      <c r="AI160" s="1">
        <f>VLOOKUP(A160,'SegEnds_NonXtal_Prot#'!A:AL,31,FALSE)-VLOOKUP(A160,'SegEnds_NonXtal_Prot#'!A:AL,28,FALSE)</f>
        <v>50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353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INDEX(ICL3_classA!$G$2:$G$39,MATCH(MIN(ABS(AI161-ICL3_classA!$F$2:$F$39)),ABS(AI161-ICL3_classA!$F$2:$F$39),0))</f>
        <v>72</v>
      </c>
      <c r="U161" s="1">
        <f t="array" ref="U161">INDEX(ICL3_classA!$H$2:$H$39,MATCH(MIN(ABS(AI161-ICL3_classA!$F$2:$F$39)),ABS(AI161-ICL3_classA!$F$2:$F$39),0))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27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26</v>
      </c>
      <c r="AH161" s="1">
        <f>VLOOKUP(A161,'SegEnds_NonXtal_Prot#'!A:AL,28,FALSE)-VLOOKUP(A161,'SegEnds_NonXtal_Prot#'!A:AL,22,FALSE)</f>
        <v>52</v>
      </c>
      <c r="AI161" s="1">
        <f>VLOOKUP(A161,'SegEnds_NonXtal_Prot#'!A:AL,31,FALSE)-VLOOKUP(A161,'SegEnds_NonXtal_Prot#'!A:AL,28,FALSE)</f>
        <v>50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383</v>
      </c>
      <c r="B162" s="1" t="str">
        <f>VLOOKUP(A162,Xtal_Templ!A:B,2,FALSE)</f>
        <v>oprk_human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21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23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19</v>
      </c>
      <c r="AE162" s="1">
        <f>VLOOKUP(A162,'SegEnds_NonXtal_Prot#'!A:AL,16,FALSE)-VLOOKUP(A162,'SegEnds_NonXtal_Prot#'!A:AL,10,FALSE)</f>
        <v>51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52</v>
      </c>
      <c r="AI162" s="1">
        <f>VLOOKUP(A162,'SegEnds_NonXtal_Prot#'!A:AL,31,FALSE)-VLOOKUP(A162,'SegEnds_NonXtal_Prot#'!A:AL,28,FALSE)</f>
        <v>51</v>
      </c>
      <c r="AJ162" s="1">
        <f>VLOOKUP(A162,'SegEnds_NonXtal_Prot#'!A:AL,34,FALSE)-VLOOKUP(A162,'SegEnds_NonXtal_Prot#'!A:AL,31,FALSE)</f>
        <v>34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385</v>
      </c>
      <c r="B163" s="1" t="str">
        <f>VLOOKUP(A163,Xtal_Templ!A:B,2,FALSE)</f>
        <v>sucr1_rat</v>
      </c>
      <c r="C163" s="5">
        <f>VLOOKUP($B163&amp;"__wt",'SegEnds_Xtal_BW#'!$A:$Z,3,FALSE)</f>
        <v>20</v>
      </c>
      <c r="D163" s="1">
        <f>VLOOKUP($B163&amp;"__wt",'SegEnds_Xtal_BW#'!$A:$Z,4,FALSE)</f>
        <v>61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31</v>
      </c>
      <c r="T163" s="1">
        <f t="array" ref="T163">INDEX(ICL3_classA!$G$2:$G$39,MATCH(MIN(ABS(AI163-ICL3_classA!$F$2:$F$39)),ABS(AI163-ICL3_classA!$F$2:$F$39),0))</f>
        <v>68</v>
      </c>
      <c r="U163" s="1">
        <f t="array" ref="U163">INDEX(ICL3_classA!$H$2:$H$39,MATCH(MIN(ABS(AI163-ICL3_classA!$F$2:$F$39)),ABS(AI163-ICL3_classA!$F$2:$F$39),0))</f>
        <v>24</v>
      </c>
      <c r="V163" s="1">
        <v>64</v>
      </c>
      <c r="W163" s="1">
        <v>24</v>
      </c>
      <c r="X163" s="124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65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27</v>
      </c>
      <c r="AH163" s="1">
        <f>VLOOKUP(A163,'SegEnds_NonXtal_Prot#'!A:AL,28,FALSE)-VLOOKUP(A163,'SegEnds_NonXtal_Prot#'!A:AL,22,FALSE)</f>
        <v>52</v>
      </c>
      <c r="AI163" s="1">
        <f>VLOOKUP(A163,'SegEnds_NonXtal_Prot#'!A:AL,31,FALSE)-VLOOKUP(A163,'SegEnds_NonXtal_Prot#'!A:AL,28,FALSE)</f>
        <v>48</v>
      </c>
      <c r="AJ163" s="1">
        <f>VLOOKUP(A163,'SegEnds_NonXtal_Prot#'!A:AL,34,FALSE)-VLOOKUP(A163,'SegEnds_NonXtal_Prot#'!A:AL,31,FALSE)</f>
        <v>45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4" t="s">
        <v>1591</v>
      </c>
      <c r="B164" s="4" t="str">
        <f>VLOOKUP(A164,Xtal_Templ!A:B,2,FALSE)</f>
        <v>sucr1_rat</v>
      </c>
      <c r="C164" s="5">
        <f>VLOOKUP($B164&amp;"__wt",'SegEnds_Xtal_BW#'!$A:$Z,3,FALSE)</f>
        <v>20</v>
      </c>
      <c r="D164" s="4">
        <f>VLOOKUP($B164&amp;"__wt",'SegEnds_Xtal_BW#'!$A:$Z,4,FALSE)</f>
        <v>61</v>
      </c>
      <c r="E164" s="4" t="str">
        <f>VLOOKUP($B164&amp;"__wt",'SegEnds_Xtal_BW#'!$A:$Z,5,FALSE)</f>
        <v>-</v>
      </c>
      <c r="F164" s="4" t="str">
        <f>VLOOKUP($B164&amp;"__wt",'SegEnds_Xtal_BW#'!$A:$Z,6,FALSE)</f>
        <v>-</v>
      </c>
      <c r="G164" s="4">
        <v>37</v>
      </c>
      <c r="H164" s="11">
        <f>VLOOKUP($B164&amp;"__wt",'SegEnds_Xtal_BW#'!$A:$Z,8,FALSE)</f>
        <v>67</v>
      </c>
      <c r="I164" s="4">
        <f>VLOOKUP($B164&amp;"__wt",'SegEnds_Xtal_BW#'!$A:$Z,9,FALSE)</f>
        <v>49</v>
      </c>
      <c r="J164" s="4">
        <f>VLOOKUP($B164&amp;"__wt",'SegEnds_Xtal_BW#'!$A:$Z,10,FALSE)</f>
        <v>52</v>
      </c>
      <c r="K164" s="11">
        <v>21</v>
      </c>
      <c r="L164" s="4">
        <f>VLOOKUP($B164&amp;"__wt",'SegEnds_Xtal_BW#'!$A:$Z,12,FALSE)</f>
        <v>56</v>
      </c>
      <c r="M164" s="4">
        <f>VLOOKUP($B164&amp;"__wt",'SegEnds_Xtal_BW#'!$A:$Z,13,FALSE)</f>
        <v>50</v>
      </c>
      <c r="N164" s="12">
        <f>VLOOKUP($B164&amp;"__wt",'SegEnds_Xtal_BW#'!$A:$Z,14,FALSE)</f>
        <v>57</v>
      </c>
      <c r="O164" s="87">
        <f>VLOOKUP($B164&amp;"__wt",'SegEnds_Xtal_BW#'!$A:$Z,15,FALSE)</f>
        <v>38</v>
      </c>
      <c r="P164" s="115">
        <f>VLOOKUP($B164&amp;"__wt",'SegEnds_Xtal_BW#'!$A:$Z,16,FALSE)</f>
        <v>67</v>
      </c>
      <c r="Q164" s="4">
        <f>VLOOKUP($B164&amp;"__wt",'SegEnds_Xtal_BW#'!$A:$Z,17,FALSE)</f>
        <v>50</v>
      </c>
      <c r="R164" s="4">
        <f>VLOOKUP($B164&amp;"__wt",'SegEnds_Xtal_BW#'!$A:$Z,18,FALSE)</f>
        <v>52</v>
      </c>
      <c r="S164" s="1">
        <f>VLOOKUP($B164&amp;"__wt",'SegEnds_Xtal_BW#'!$A:$Z,19,FALSE)</f>
        <v>31</v>
      </c>
      <c r="T164" s="4">
        <f t="array" ref="T164">INDEX(ICL3_classA!$G$2:$G$39,MATCH(MIN(ABS(AI164-ICL3_classA!$F$2:$F$39)),ABS(AI164-ICL3_classA!$F$2:$F$39),0))</f>
        <v>68</v>
      </c>
      <c r="U164" s="4">
        <f t="array" ref="U164">INDEX(ICL3_classA!$H$2:$H$39,MATCH(MIN(ABS(AI164-ICL3_classA!$F$2:$F$39)),ABS(AI164-ICL3_classA!$F$2:$F$39),0))</f>
        <v>24</v>
      </c>
      <c r="V164" s="115">
        <v>63</v>
      </c>
      <c r="W164" s="115">
        <v>26</v>
      </c>
      <c r="X164" s="4">
        <f>VLOOKUP($B164&amp;"__wt",'SegEnds_Xtal_BW#'!$A:$Z,24,FALSE)</f>
        <v>56</v>
      </c>
      <c r="Y164" s="4">
        <f>VLOOKUP($B164&amp;"__wt",'SegEnds_Xtal_BW#'!$A:$Z,25,FALSE)</f>
        <v>47</v>
      </c>
      <c r="Z164" s="4">
        <f>VLOOKUP($B164&amp;"__wt",'SegEnds_Xtal_BW#'!$A:$Z,26,FALSE)</f>
        <v>65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4" t="e">
        <f>VLOOKUP(A164,'SegEnds_NonXtal_Prot#'!A:AL,10,FALSE)-VLOOKUP(A164,'SegEnds_NonXtal_Prot#'!A:AL,7,FALSE)</f>
        <v>#VALUE!</v>
      </c>
      <c r="AD164" s="4">
        <f>VLOOKUP(A164,'SegEnds_NonXtal_Prot#'!A:AL,13,FALSE)-VLOOKUP(A164,'SegEnds_NonXtal_Prot#'!A:AL,10,FALSE)</f>
        <v>19</v>
      </c>
      <c r="AE164" s="4">
        <f>VLOOKUP(A164,'SegEnds_NonXtal_Prot#'!A:AL,16,FALSE)-VLOOKUP(A164,'SegEnds_NonXtal_Prot#'!A:AL,10,FALSE)</f>
        <v>51</v>
      </c>
      <c r="AF164" s="1">
        <f>VLOOKUP(A164,'SegEnds_NonXtal_Prot#'!A:AL,22,FALSE)-VLOOKUP(A164,'SegEnds_NonXtal_Prot#'!A:AL,19,FALSE)</f>
        <v>20</v>
      </c>
      <c r="AG164" s="4">
        <f>VLOOKUP(A164,'SegEnds_NonXtal_Prot#'!A:AL,28,FALSE)-VLOOKUP(A164,'SegEnds_NonXtal_Prot#'!A:AL,25,FALSE)</f>
        <v>27</v>
      </c>
      <c r="AH164" s="1">
        <f>VLOOKUP(A164,'SegEnds_NonXtal_Prot#'!A:AL,28,FALSE)-VLOOKUP(A164,'SegEnds_NonXtal_Prot#'!A:AL,22,FALSE)</f>
        <v>52</v>
      </c>
      <c r="AI164" s="4">
        <f>VLOOKUP(A164,'SegEnds_NonXtal_Prot#'!A:AL,31,FALSE)-VLOOKUP(A164,'SegEnds_NonXtal_Prot#'!A:AL,28,FALSE)</f>
        <v>48</v>
      </c>
      <c r="AJ164" s="4">
        <f>VLOOKUP(A164,'SegEnds_NonXtal_Prot#'!A:AL,34,FALSE)-VLOOKUP(A164,'SegEnds_NonXtal_Prot#'!A:AL,31,FALSE)</f>
        <v>44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389</v>
      </c>
      <c r="B165" s="1" t="str">
        <f>VLOOKUP(A165,Xtal_Templ!A:B,2,FALSE)</f>
        <v>5ht1b_human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73</v>
      </c>
      <c r="U165" s="1">
        <f t="array" ref="U165">INDEX(ICL3_classA!$H$2:$H$39,MATCH(MIN(ABS(AI165-ICL3_classA!$F$2:$F$39)),ABS(AI165-ICL3_classA!$F$2:$F$39),0))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19</v>
      </c>
      <c r="AH165" s="1">
        <f>VLOOKUP(A165,'SegEnds_NonXtal_Prot#'!A:AL,28,FALSE)-VLOOKUP(A165,'SegEnds_NonXtal_Prot#'!A:AL,22,FALSE)</f>
        <v>52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390</v>
      </c>
      <c r="B166" s="1" t="str">
        <f>VLOOKUP(A166,Xtal_Templ!A:B,2,FALSE)</f>
        <v>5ht1b_human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INDEX(ICL3_classA!$G$2:$G$39,MATCH(MIN(ABS(AI166-ICL3_classA!$F$2:$F$39)),ABS(AI166-ICL3_classA!$F$2:$F$39),0))</f>
        <v>74</v>
      </c>
      <c r="U166" s="1">
        <f t="array" ref="U166">INDEX(ICL3_classA!$H$2:$H$39,MATCH(MIN(ABS(AI166-ICL3_classA!$F$2:$F$39)),ABS(AI166-ICL3_classA!$F$2:$F$39),0))</f>
        <v>21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19</v>
      </c>
      <c r="AH166" s="1">
        <f>VLOOKUP(A166,'SegEnds_NonXtal_Prot#'!A:AL,28,FALSE)-VLOOKUP(A166,'SegEnds_NonXtal_Prot#'!A:AL,22,FALSE)</f>
        <v>52</v>
      </c>
      <c r="AI166" s="1">
        <f>VLOOKUP(A166,'SegEnds_NonXtal_Prot#'!A:AL,31,FALSE)-VLOOKUP(A166,'SegEnds_NonXtal_Prot#'!A:AL,28,FALSE)</f>
        <v>64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391</v>
      </c>
      <c r="B167" s="1" t="str">
        <f>VLOOKUP(A167,Xtal_Templ!A:B,2,FALSE)</f>
        <v>5ht1b_human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INDEX(ICL3_classA!$G$2:$G$39,MATCH(MIN(ABS(AI167-ICL3_classA!$F$2:$F$39)),ABS(AI167-ICL3_classA!$F$2:$F$39),0))</f>
        <v>74</v>
      </c>
      <c r="U167" s="1">
        <f t="array" ref="U167">INDEX(ICL3_classA!$H$2:$H$39,MATCH(MIN(ABS(AI167-ICL3_classA!$F$2:$F$39)),ABS(AI167-ICL3_classA!$F$2:$F$39),0))</f>
        <v>21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19</v>
      </c>
      <c r="AH167" s="1">
        <f>VLOOKUP(A167,'SegEnds_NonXtal_Prot#'!A:AL,28,FALSE)-VLOOKUP(A167,'SegEnds_NonXtal_Prot#'!A:AL,22,FALSE)</f>
        <v>52</v>
      </c>
      <c r="AI167" s="1">
        <f>VLOOKUP(A167,'SegEnds_NonXtal_Prot#'!A:AL,31,FALSE)-VLOOKUP(A167,'SegEnds_NonXtal_Prot#'!A:AL,28,FALSE)</f>
        <v>64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392</v>
      </c>
      <c r="B168" s="1" t="str">
        <f>VLOOKUP(A168,Xtal_Templ!A:B,2,FALSE)</f>
        <v>5ht1b_human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21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19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64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143</v>
      </c>
      <c r="B169" s="1" t="str">
        <f>VLOOKUP(A169,Xtal_Templ!A:B,2,FALSE)</f>
        <v>ccr2_human</v>
      </c>
      <c r="C169" s="5">
        <f>VLOOKUP($B169&amp;"__wt",'SegEnds_Xtal_BW#'!$A:$Z,3,FALSE)</f>
        <v>27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08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f>VLOOKUP($B169&amp;"__wt",'SegEnds_Xtal_BW#'!$A:$Z,14,FALSE)</f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50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27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125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INDEX(ICL3_classA!$G$2:$G$39,MATCH(MIN(ABS(AI170-ICL3_classA!$F$2:$F$39)),ABS(AI170-ICL3_classA!$F$2:$F$39),0))</f>
        <v>74</v>
      </c>
      <c r="U170" s="1">
        <f t="array" ref="U170">INDEX(ICL3_classA!$H$2:$H$39,MATCH(MIN(ABS(AI170-ICL3_classA!$F$2:$F$39)),ABS(AI170-ICL3_classA!$F$2:$F$39),0))</f>
        <v>24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20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103</v>
      </c>
      <c r="AJ170" s="1">
        <f>VLOOKUP(A170,'SegEnds_NonXtal_Prot#'!A:AL,34,FALSE)-VLOOKUP(A170,'SegEnds_NonXtal_Prot#'!A:AL,31,FALSE)</f>
        <v>35</v>
      </c>
      <c r="AK170" s="1">
        <f>VLOOKUP(A170,'SegEnds_NonXtal_Prot#'!A:AL,37,FALSE)-VLOOKUP(A170,'SegEnds_NonXtal_Prot#'!A:AL,34,FALSE)</f>
        <v>9</v>
      </c>
      <c r="AL170" s="1" t="str">
        <f>IF(ISERROR(MATCH(A170,'SegEnds_Xtal_Prot#'!B:B, 0)), "NoXtal", "Xtal")</f>
        <v>NoXtal</v>
      </c>
    </row>
    <row r="171" spans="1:38" x14ac:dyDescent="0.2">
      <c r="A171" s="1" t="s">
        <v>905</v>
      </c>
      <c r="B171" s="1" t="str">
        <f>VLOOKUP(A171,Xtal_Templ!A:B,2,FALSE)</f>
        <v>adrb1_melga</v>
      </c>
      <c r="C171" s="5">
        <f>VLOOKUP($B171&amp;"__wt",'SegEnds_Xtal_BW#'!$A:$Z,3,FALSE)</f>
        <v>24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INDEX(ICL3_classA!$G$2:$G$39,MATCH(MIN(ABS(AI171-ICL3_classA!$F$2:$F$39)),ABS(AI171-ICL3_classA!$F$2:$F$39),0))</f>
        <v>76</v>
      </c>
      <c r="U171" s="1">
        <v>20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20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86</v>
      </c>
      <c r="AJ171" s="1">
        <f>VLOOKUP(A171,'SegEnds_NonXtal_Prot#'!A:AL,34,FALSE)-VLOOKUP(A171,'SegEnds_NonXtal_Prot#'!A:AL,31,FALSE)</f>
        <v>35</v>
      </c>
      <c r="AK171" s="1">
        <f>VLOOKUP(A171,'SegEnds_NonXtal_Prot#'!A:AL,37,FALSE)-VLOOKUP(A171,'SegEnds_NonXtal_Prot#'!A:AL,34,FALSE)</f>
        <v>9</v>
      </c>
      <c r="AL171" s="1" t="str">
        <f>IF(ISERROR(MATCH(A171,'SegEnds_Xtal_Prot#'!B:B, 0)), "NoXtal", "Xtal")</f>
        <v>Xtal</v>
      </c>
    </row>
    <row r="172" spans="1:38" x14ac:dyDescent="0.2">
      <c r="A172" s="1" t="s">
        <v>126</v>
      </c>
      <c r="B172" s="1" t="str">
        <f>VLOOKUP(A172,Xtal_Templ!A:B,2,FALSE)</f>
        <v>adrb2_human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35</v>
      </c>
      <c r="T172" s="1">
        <f t="array" ref="T172">INDEX(ICL3_classA!$G$2:$G$39,MATCH(MIN(ABS(AI172-ICL3_classA!$F$2:$F$39)),ABS(AI172-ICL3_classA!$F$2:$F$39),0))</f>
        <v>76</v>
      </c>
      <c r="U172" s="1">
        <f t="array" ref="U172">INDEX(ICL3_classA!$H$2:$H$39,MATCH(MIN(ABS(AI172-ICL3_classA!$F$2:$F$39)),ABS(AI172-ICL3_classA!$F$2:$F$39),0))</f>
        <v>24</v>
      </c>
      <c r="V172" s="1">
        <v>61</v>
      </c>
      <c r="W172" s="1">
        <v>31</v>
      </c>
      <c r="X172" s="1">
        <f>VLOOKUP($B172&amp;"__wt",'SegEnds_Xtal_BW#'!$A:$Z,24,FALSE)</f>
        <v>55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20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77</v>
      </c>
      <c r="AJ172" s="1">
        <f>VLOOKUP(A172,'SegEnds_NonXtal_Prot#'!A:AL,34,FALSE)-VLOOKUP(A172,'SegEnds_NonXtal_Prot#'!A:AL,31,FALSE)</f>
        <v>35</v>
      </c>
      <c r="AK172" s="1">
        <f>VLOOKUP(A172,'SegEnds_NonXtal_Prot#'!A:AL,37,FALSE)-VLOOKUP(A172,'SegEnds_NonXtal_Prot#'!A:AL,34,FALSE)</f>
        <v>9</v>
      </c>
      <c r="AL172" s="1" t="str">
        <f>IF(ISERROR(MATCH(A172,'SegEnds_Xtal_Prot#'!B:B, 0)), "NoXtal", "Xtal")</f>
        <v>Xtal</v>
      </c>
    </row>
    <row r="173" spans="1:38" x14ac:dyDescent="0.2">
      <c r="A173" s="1" t="s">
        <v>165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INDEX(ICL3_classA!$G$2:$G$39,MATCH(MIN(ABS(AI173-ICL3_classA!$F$2:$F$39)),ABS(AI173-ICL3_classA!$F$2:$F$39),0))</f>
        <v>68</v>
      </c>
      <c r="U173" s="108">
        <v>31</v>
      </c>
      <c r="V173" s="1">
        <v>61</v>
      </c>
      <c r="W173" s="108">
        <v>25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56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26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43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166</v>
      </c>
      <c r="B174" s="1" t="str">
        <f>VLOOKUP(A174,Xtal_Templ!A:B,2,FALSE)</f>
        <v>c5ar1_human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INDEX(ICL3_classA!$G$2:$G$39,MATCH(MIN(ABS(AI174-ICL3_classA!$F$2:$F$39)),ABS(AI174-ICL3_classA!$F$2:$F$39),0))</f>
        <v>64</v>
      </c>
      <c r="U174" s="108">
        <v>31</v>
      </c>
      <c r="V174" s="1">
        <v>61</v>
      </c>
      <c r="W174" s="108">
        <v>25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56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53</v>
      </c>
      <c r="AI174" s="1">
        <f>VLOOKUP(A174,'SegEnds_NonXtal_Prot#'!A:AL,31,FALSE)-VLOOKUP(A174,'SegEnds_NonXtal_Prot#'!A:AL,28,FALSE)</f>
        <v>36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168</v>
      </c>
      <c r="B175" s="1" t="str">
        <f>VLOOKUP(A175,Xtal_Templ!A:B,2,FALSE)</f>
        <v>ccr5_human</v>
      </c>
      <c r="C175" s="5">
        <f>VLOOKUP($B175&amp;"__wt",'SegEnds_Xtal_BW#'!$A:$Z,3,FALSE)</f>
        <v>24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INDEX(ICL3_classA!$G$2:$G$39,MATCH(MIN(ABS(AI175-ICL3_classA!$F$2:$F$39)),ABS(AI175-ICL3_classA!$F$2:$F$39),0))</f>
        <v>68</v>
      </c>
      <c r="U175" s="1">
        <f t="array" ref="U175">INDEX(ICL3_classA!$H$2:$H$39,MATCH(MIN(ABS(AI175-ICL3_classA!$F$2:$F$39)),ABS(AI175-ICL3_classA!$F$2:$F$39),0))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28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169</v>
      </c>
      <c r="B176" s="1" t="str">
        <f>VLOOKUP(A176,Xtal_Templ!A:B,2,FALSE)</f>
        <v>ccr7_human</v>
      </c>
      <c r="C176" s="5">
        <f>VLOOKUP($B176&amp;"__wt",'SegEnds_Xtal_BW#'!$A:$Z,3,FALSE)</f>
        <v>29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58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INDEX(ICL3_classA!$G$2:$G$39,MATCH(MIN(ABS(AI176-ICL3_classA!$F$2:$F$39)),ABS(AI176-ICL3_classA!$F$2:$F$39),0))</f>
        <v>68</v>
      </c>
      <c r="U176" s="1">
        <f t="array" ref="U176">INDEX(ICL3_classA!$H$2:$H$39,MATCH(MIN(ABS(AI176-ICL3_classA!$F$2:$F$39)),ABS(AI176-ICL3_classA!$F$2:$F$39),0))</f>
        <v>30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29</v>
      </c>
      <c r="AC176" s="1">
        <f>VLOOKUP(A176,'SegEnds_NonXtal_Prot#'!A:AL,10,FALSE)-VLOOKUP(A176,'SegEnds_NonXtal_Prot#'!A:AL,7,FALSE)</f>
        <v>16</v>
      </c>
      <c r="AD176" s="1">
        <f>VLOOKUP(A176,'SegEnds_NonXtal_Prot#'!A:AL,13,FALSE)-VLOOKUP(A176,'SegEnds_NonXtal_Prot#'!A:AL,10,FALSE)</f>
        <v>18</v>
      </c>
      <c r="AE176" s="1">
        <f>VLOOKUP(A176,'SegEnds_NonXtal_Prot#'!A:AL,16,FALSE)-VLOOKUP(A176,'SegEnds_NonXtal_Prot#'!A:AL,10,FALSE)</f>
        <v>50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53</v>
      </c>
      <c r="AI176" s="1">
        <f>VLOOKUP(A176,'SegEnds_NonXtal_Prot#'!A:AL,31,FALSE)-VLOOKUP(A176,'SegEnds_NonXtal_Prot#'!A:AL,28,FALSE)</f>
        <v>43</v>
      </c>
      <c r="AJ176" s="1">
        <f>VLOOKUP(A176,'SegEnds_NonXtal_Prot#'!A:AL,34,FALSE)-VLOOKUP(A176,'SegEnds_NonXtal_Prot#'!A:AL,31,FALSE)</f>
        <v>45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171</v>
      </c>
      <c r="B177" s="1" t="str">
        <f>VLOOKUP(A177,Xtal_Templ!A:B,2,FALSE)</f>
        <v>ccr5_human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68</v>
      </c>
      <c r="U177" s="1">
        <f t="array" ref="U177">INDEX(ICL3_classA!$H$2:$H$39,MATCH(MIN(ABS(AI177-ICL3_classA!$F$2:$F$39)),ABS(AI177-ICL3_classA!$F$2:$F$39),0))</f>
        <v>30</v>
      </c>
      <c r="V177" s="1">
        <v>65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28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43</v>
      </c>
      <c r="AJ177" s="1">
        <f>VLOOKUP(A177,'SegEnds_NonXtal_Prot#'!A:AL,34,FALSE)-VLOOKUP(A177,'SegEnds_NonXtal_Prot#'!A:AL,31,FALSE)</f>
        <v>44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173</v>
      </c>
      <c r="B178" s="1" t="str">
        <f>VLOOKUP(A178,Xtal_Templ!A:B,2,FALSE)</f>
        <v>ccr5_human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24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28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50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44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2" t="s">
        <v>177</v>
      </c>
      <c r="B179" s="12" t="str">
        <f>VLOOKUP(A179,Xtal_Templ!A:B,2,FALSE)</f>
        <v>ccr9_human</v>
      </c>
      <c r="C179" s="13">
        <f>VLOOKUP($B179&amp;"__wt",'SegEnds_Xtal_BW#'!$A:$Z,3,FALSE)</f>
        <v>27</v>
      </c>
      <c r="D179" s="12">
        <f>VLOOKUP($B179&amp;"__wt",'SegEnds_Xtal_BW#'!$A:$Z,4,FALSE)</f>
        <v>60</v>
      </c>
      <c r="E179" s="12">
        <f>VLOOKUP($B179&amp;"__wt",'SegEnds_Xtal_BW#'!$A:$Z,5,FALSE)</f>
        <v>48</v>
      </c>
      <c r="F179" s="12">
        <f>VLOOKUP($B179&amp;"__wt",'SegEnds_Xtal_BW#'!$A:$Z,6,FALSE)</f>
        <v>51</v>
      </c>
      <c r="G179" s="12">
        <v>37</v>
      </c>
      <c r="H179" s="12">
        <v>66</v>
      </c>
      <c r="I179" s="12">
        <f>VLOOKUP($B179&amp;"__wt",'SegEnds_Xtal_BW#'!$A:$Z,9,FALSE)</f>
        <v>49</v>
      </c>
      <c r="J179" s="12">
        <f>VLOOKUP($B179&amp;"__wt",'SegEnds_Xtal_BW#'!$A:$Z,10,FALSE)</f>
        <v>52</v>
      </c>
      <c r="K179" s="12">
        <v>24</v>
      </c>
      <c r="L179" s="12">
        <f>VLOOKUP($B179&amp;"__wt",'SegEnds_Xtal_BW#'!$A:$Z,12,FALSE)</f>
        <v>56</v>
      </c>
      <c r="M179" s="12">
        <f>VLOOKUP($B179&amp;"__wt",'SegEnds_Xtal_BW#'!$A:$Z,13,FALSE)</f>
        <v>50</v>
      </c>
      <c r="N179" s="12">
        <f>VLOOKUP($B179&amp;"__wt",'SegEnds_Xtal_BW#'!$A:$Z,14,FALSE)</f>
        <v>56</v>
      </c>
      <c r="O179" s="87">
        <f>VLOOKUP($B179&amp;"__wt",'SegEnds_Xtal_BW#'!$A:$Z,15,FALSE)</f>
        <v>35</v>
      </c>
      <c r="P179" s="12">
        <f>VLOOKUP($B179&amp;"__wt",'SegEnds_Xtal_BW#'!$A:$Z,16,FALSE)</f>
        <v>64</v>
      </c>
      <c r="Q179" s="12">
        <f>VLOOKUP($B179&amp;"__wt",'SegEnds_Xtal_BW#'!$A:$Z,17,FALSE)</f>
        <v>50</v>
      </c>
      <c r="R179" s="12">
        <f>VLOOKUP($B179&amp;"__wt",'SegEnds_Xtal_BW#'!$A:$Z,18,FALSE)</f>
        <v>52</v>
      </c>
      <c r="S179" s="12">
        <f>VLOOKUP($B179&amp;"__wt",'SegEnds_Xtal_BW#'!$A:$Z,19,FALSE)</f>
        <v>33</v>
      </c>
      <c r="T179" s="12">
        <f t="array" ref="T179">INDEX(ICL3_classA!$G$2:$G$39,MATCH(MIN(ABS(AI179-ICL3_classA!$F$2:$F$39)),ABS(AI179-ICL3_classA!$F$2:$F$39),0))</f>
        <v>68</v>
      </c>
      <c r="U179" s="12">
        <f t="array" ref="U179">INDEX(ICL3_classA!$H$2:$H$39,MATCH(MIN(ABS(AI179-ICL3_classA!$F$2:$F$39)),ABS(AI179-ICL3_classA!$F$2:$F$39),0))</f>
        <v>30</v>
      </c>
      <c r="V179" s="12">
        <v>65</v>
      </c>
      <c r="W179" s="12">
        <v>24</v>
      </c>
      <c r="X179" s="12">
        <f>VLOOKUP($B179&amp;"__wt",'SegEnds_Xtal_BW#'!$A:$Z,24,FALSE)</f>
        <v>56</v>
      </c>
      <c r="Y179" s="12">
        <f>VLOOKUP($B179&amp;"__wt",'SegEnds_Xtal_BW#'!$A:$Z,25,FALSE)</f>
        <v>47</v>
      </c>
      <c r="Z179" s="12">
        <f>VLOOKUP($B179&amp;"__wt",'SegEnds_Xtal_BW#'!$A:$Z,26,FALSE)</f>
        <v>67</v>
      </c>
      <c r="AA179" s="36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2">
        <f>VLOOKUP(A179,'SegEnds_NonXtal_Prot#'!A:AL,10,FALSE)-VLOOKUP(A179,'SegEnds_NonXtal_Prot#'!A:AL,7,FALSE)</f>
        <v>15</v>
      </c>
      <c r="AD179" s="12">
        <f>VLOOKUP(A179,'SegEnds_NonXtal_Prot#'!A:AL,13,FALSE)-VLOOKUP(A179,'SegEnds_NonXtal_Prot#'!A:AL,10,FALSE)</f>
        <v>18</v>
      </c>
      <c r="AE179" s="12">
        <f>VLOOKUP(A179,'SegEnds_NonXtal_Prot#'!A:AL,16,FALSE)-VLOOKUP(A179,'SegEnds_NonXtal_Prot#'!A:AL,10,FALSE)</f>
        <v>50</v>
      </c>
      <c r="AF179" s="1">
        <f>VLOOKUP(A179,'SegEnds_NonXtal_Prot#'!A:AL,22,FALSE)-VLOOKUP(A179,'SegEnds_NonXtal_Prot#'!A:AL,19,FALSE)</f>
        <v>22</v>
      </c>
      <c r="AG179" s="12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53</v>
      </c>
      <c r="AI179" s="12">
        <f>VLOOKUP(A179,'SegEnds_NonXtal_Prot#'!A:AL,31,FALSE)-VLOOKUP(A179,'SegEnds_NonXtal_Prot#'!A:AL,28,FALSE)</f>
        <v>43</v>
      </c>
      <c r="AJ179" s="12">
        <f>VLOOKUP(A179,'SegEnds_NonXtal_Prot#'!A:AL,34,FALSE)-VLOOKUP(A179,'SegEnds_NonXtal_Prot#'!A:AL,31,FALSE)</f>
        <v>45</v>
      </c>
      <c r="AK179" s="1">
        <f>VLOOKUP(A179,'SegEnds_NonXtal_Prot#'!A:AL,37,FALSE)-VLOOKUP(A179,'SegEnds_NonXtal_Prot#'!A:AL,34,FALSE)</f>
        <v>10</v>
      </c>
      <c r="AL179" s="12" t="str">
        <f>IF(ISERROR(MATCH(A179,'SegEnds_Xtal_Prot#'!B:B, 0)), "NoXtal", "Xtal")</f>
        <v>Xtal</v>
      </c>
    </row>
    <row r="180" spans="1:38" x14ac:dyDescent="0.2">
      <c r="A180" s="1" t="s">
        <v>179</v>
      </c>
      <c r="B180" s="1" t="str">
        <f>VLOOKUP(A180,Xtal_Templ!A:B,2,FALSE)</f>
        <v>cltr1_human</v>
      </c>
      <c r="C180" s="5">
        <f>VLOOKUP($B180&amp;"__wt",'SegEnds_Xtal_BW#'!$A:$Z,3,FALSE)</f>
        <v>20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28</v>
      </c>
      <c r="T180" s="1">
        <f t="array" ref="T180">INDEX(ICL3_classA!$G$2:$G$39,MATCH(MIN(ABS(AI180-ICL3_classA!$F$2:$F$39)),ABS(AI180-ICL3_classA!$F$2:$F$39),0))</f>
        <v>67</v>
      </c>
      <c r="U180" s="1">
        <f t="array" ref="U180">INDEX(ICL3_classA!$H$2:$H$39,MATCH(MIN(ABS(AI180-ICL3_classA!$F$2:$F$39)),ABS(AI180-ICL3_classA!$F$2:$F$39),0))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47</v>
      </c>
      <c r="AJ180" s="1">
        <f>VLOOKUP(A180,'SegEnds_NonXtal_Prot#'!A:AL,34,FALSE)-VLOOKUP(A180,'SegEnds_NonXtal_Prot#'!A:AL,31,FALSE)</f>
        <v>44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185</v>
      </c>
      <c r="B181" s="1" t="str">
        <f>VLOOKUP(A181,Xtal_Templ!A:B,2,FALSE)</f>
        <v>ccr7_human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08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18</v>
      </c>
      <c r="AE181" s="1">
        <f>VLOOKUP(A181,'SegEnds_NonXtal_Prot#'!A:AL,16,FALSE)-VLOOKUP(A181,'SegEnds_NonXtal_Prot#'!A:AL,10,FALSE)</f>
        <v>50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45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186</v>
      </c>
      <c r="B182" s="1" t="str">
        <f>VLOOKUP(A182,Xtal_Templ!A:B,2,FALSE)</f>
        <v>ccr7_human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08">
        <v>56</v>
      </c>
      <c r="O182" s="10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64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18</v>
      </c>
      <c r="AE182" s="1">
        <f>VLOOKUP(A182,'SegEnds_NonXtal_Prot#'!A:AL,16,FALSE)-VLOOKUP(A182,'SegEnds_NonXtal_Prot#'!A:AL,10,FALSE)</f>
        <v>50</v>
      </c>
      <c r="AF182" s="1">
        <f>VLOOKUP(A182,'SegEnds_NonXtal_Prot#'!A:AL,22,FALSE)-VLOOKUP(A182,'SegEnds_NonXtal_Prot#'!A:AL,19,FALSE)</f>
        <v>19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45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220</v>
      </c>
      <c r="B183" s="1" t="str">
        <f>VLOOKUP(A183,Xtal_Templ!A:B,2,FALSE)</f>
        <v>s1pr1_human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47</v>
      </c>
      <c r="J183" s="1">
        <f>VLOOKUP($B183&amp;"__wt",'SegEnds_Xtal_BW#'!$A:$Z,10,FALSE)</f>
        <v>53</v>
      </c>
      <c r="K183" s="12">
        <v>18</v>
      </c>
      <c r="L183" s="1">
        <f>VLOOKUP($B183&amp;"__wt",'SegEnds_Xtal_BW#'!$A:$Z,12,FALSE)</f>
        <v>56</v>
      </c>
      <c r="M183" s="108" t="s">
        <v>23</v>
      </c>
      <c r="N183" s="12" t="s">
        <v>23</v>
      </c>
      <c r="O183" s="87">
        <f>VLOOKUP($B183&amp;"__wt",'SegEnds_Xtal_BW#'!$A:$Z,15,FALSE)</f>
        <v>38</v>
      </c>
      <c r="P183" s="1">
        <f>VLOOKUP($B183&amp;"__wt",'SegEnds_Xtal_BW#'!$A:$Z,16,FALSE)</f>
        <v>63</v>
      </c>
      <c r="Q183" s="1" t="str">
        <f>VLOOKUP($B183&amp;"__wt",'SegEnds_Xtal_BW#'!$A:$Z,17,FALSE)</f>
        <v>-</v>
      </c>
      <c r="R183" s="1" t="str">
        <f>VLOOKUP($B183&amp;"__wt",'SegEnds_Xtal_BW#'!$A:$Z,18,FALSE)</f>
        <v>-</v>
      </c>
      <c r="S183" s="1">
        <f>VLOOKUP($B183&amp;"__wt",'SegEnds_Xtal_BW#'!$A:$Z,19,FALSE)</f>
        <v>36</v>
      </c>
      <c r="T183" s="1">
        <f t="array" ref="T183">INDEX(ICL3_classA!$G$2:$G$39,MATCH(MIN(ABS(AI183-ICL3_classA!$F$2:$F$39)),ABS(AI183-ICL3_classA!$F$2:$F$39),0))</f>
        <v>76</v>
      </c>
      <c r="U183" s="1">
        <f t="array" ref="U183">INDEX(ICL3_classA!$H$2:$H$39,MATCH(MIN(ABS(AI183-ICL3_classA!$F$2:$F$39)),ABS(AI183-ICL3_classA!$F$2:$F$39),0))</f>
        <v>24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29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26</v>
      </c>
      <c r="AE183" s="1">
        <f>VLOOKUP(A183,'SegEnds_NonXtal_Prot#'!A:AL,16,FALSE)-VLOOKUP(A183,'SegEnds_NonXtal_Prot#'!A:AL,10,FALSE)</f>
        <v>69</v>
      </c>
      <c r="AF183" s="1" t="e">
        <f>VLOOKUP(A183,'SegEnds_NonXtal_Prot#'!A:AL,22,FALSE)-VLOOKUP(A183,'SegEnds_NonXtal_Prot#'!A:AL,19,FALSE)</f>
        <v>#VALUE!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53</v>
      </c>
      <c r="AI183" s="1">
        <f>VLOOKUP(A183,'SegEnds_NonXtal_Prot#'!A:AL,31,FALSE)-VLOOKUP(A183,'SegEnds_NonXtal_Prot#'!A:AL,28,FALSE)</f>
        <v>114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240</v>
      </c>
      <c r="B184" s="1" t="str">
        <f>VLOOKUP(A184,Xtal_Templ!A:B,2,FALSE)</f>
        <v>ccr7_human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INDEX(ICL3_classA!$G$2:$G$39,MATCH(MIN(ABS(AI184-ICL3_classA!$F$2:$F$39)),ABS(AI184-ICL3_classA!$F$2:$F$39),0))</f>
        <v>68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19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27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246</v>
      </c>
      <c r="B185" s="1" t="str">
        <f>VLOOKUP(A185,Xtal_Templ!A:B,2,FALSE)</f>
        <v>drd2_human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INDEX(ICL3_classA!$G$2:$G$39,MATCH(MIN(ABS(AI185-ICL3_classA!$F$2:$F$39)),ABS(AI185-ICL3_classA!$F$2:$F$39),0))</f>
        <v>76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29</v>
      </c>
      <c r="AC185" s="1">
        <f>VLOOKUP(A185,'SegEnds_NonXtal_Prot#'!A:AL,10,FALSE)-VLOOKUP(A185,'SegEnds_NonXtal_Prot#'!A:AL,7,FALSE)</f>
        <v>16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72</v>
      </c>
      <c r="AJ185" s="1">
        <f>VLOOKUP(A185,'SegEnds_NonXtal_Prot#'!A:AL,34,FALSE)-VLOOKUP(A185,'SegEnds_NonXtal_Prot#'!A:AL,31,FALSE)</f>
        <v>35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262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76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26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21</v>
      </c>
      <c r="AE186" s="1">
        <f>VLOOKUP(A186,'SegEnds_NonXtal_Prot#'!A:AL,16,FALSE)-VLOOKUP(A186,'SegEnds_NonXtal_Prot#'!A:AL,10,FALSE)</f>
        <v>54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25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82</v>
      </c>
      <c r="AJ186" s="1">
        <f>VLOOKUP(A186,'SegEnds_NonXtal_Prot#'!A:AL,34,FALSE)-VLOOKUP(A186,'SegEnds_NonXtal_Prot#'!A:AL,31,FALSE)</f>
        <v>36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266</v>
      </c>
      <c r="B187" s="1" t="str">
        <f>VLOOKUP(A187,Xtal_Templ!A:B,2,FALSE)</f>
        <v>drd2_human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INDEX(ICL3_classA!$G$2:$G$39,MATCH(MIN(ABS(AI187-ICL3_classA!$F$2:$F$39)),ABS(AI187-ICL3_classA!$F$2:$F$39),0))</f>
        <v>76</v>
      </c>
      <c r="U187" s="1">
        <f t="array" ref="U187">INDEX(ICL3_classA!$H$2:$H$39,MATCH(MIN(ABS(AI187-ICL3_classA!$F$2:$F$39)),ABS(AI187-ICL3_classA!$F$2:$F$39),0))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29</v>
      </c>
      <c r="AC187" s="1">
        <f>VLOOKUP(A187,'SegEnds_NonXtal_Prot#'!A:AL,10,FALSE)-VLOOKUP(A187,'SegEnds_NonXtal_Prot#'!A:AL,7,FALSE)</f>
        <v>16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72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267</v>
      </c>
      <c r="B188" s="1" t="str">
        <f>VLOOKUP(A188,Xtal_Templ!A:B,2,FALSE)</f>
        <v>oprd_human</v>
      </c>
      <c r="C188" s="5">
        <f>VLOOKUP($B188&amp;"__wt",'SegEnds_Xtal_BW#'!$A:$Z,3,FALSE)</f>
        <v>22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INDEX(ICL3_classA!$G$2:$G$39,MATCH(MIN(ABS(AI188-ICL3_classA!$F$2:$F$39)),ABS(AI188-ICL3_classA!$F$2:$F$39),0))</f>
        <v>68</v>
      </c>
      <c r="U188" s="1">
        <f t="array" ref="U188">INDEX(ICL3_classA!$H$2:$H$39,MATCH(MIN(ABS(AI188-ICL3_classA!$F$2:$F$39)),ABS(AI188-ICL3_classA!$F$2:$F$39),0))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60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56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42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287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68</v>
      </c>
      <c r="U189" s="1">
        <f t="array" ref="U189">INDEX(ICL3_classA!$H$2:$H$39,MATCH(MIN(ABS(AI189-ICL3_classA!$F$2:$F$39)),ABS(AI189-ICL3_classA!$F$2:$F$39),0))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48</v>
      </c>
      <c r="AJ189" s="1">
        <f>VLOOKUP(A189,'SegEnds_NonXtal_Prot#'!A:AL,34,FALSE)-VLOOKUP(A189,'SegEnds_NonXtal_Prot#'!A:AL,31,FALSE)</f>
        <v>44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313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31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28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314</v>
      </c>
      <c r="B191" s="1" t="str">
        <f>VLOOKUP(A191,Xtal_Templ!A:B,2,FALSE)</f>
        <v>nk1r_human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 t="str">
        <f>VLOOKUP($B191&amp;"__wt",'SegEnds_Xtal_BW#'!$A:$Z,13,FALSE)</f>
        <v>-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31">
        <f>VLOOKUP($B191&amp;"__wt",'SegEnds_Xtal_BW#'!$A:$Z,23,FALSE)</f>
        <v>30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28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56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320</v>
      </c>
      <c r="B192" s="1" t="str">
        <f>VLOOKUP(A192,Xtal_Templ!A:B,2,FALSE)</f>
        <v>oprd_human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21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f>VLOOKUP($B192&amp;"__wt",'SegEnds_Xtal_BW#'!$A:$Z,14,FALSE)</f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INDEX(ICL3_classA!$G$2:$G$39,MATCH(MIN(ABS(AI192-ICL3_classA!$F$2:$F$39)),ABS(AI192-ICL3_classA!$F$2:$F$39),0))</f>
        <v>68</v>
      </c>
      <c r="U192" s="1">
        <f t="array" ref="U192">INDEX(ICL3_classA!$H$2:$H$39,MATCH(MIN(ABS(AI192-ICL3_classA!$F$2:$F$39)),ABS(AI192-ICL3_classA!$F$2:$F$39),0))</f>
        <v>23</v>
      </c>
      <c r="V192" s="1">
        <v>61</v>
      </c>
      <c r="W192" s="131">
        <f>VLOOKUP($B192&amp;"__wt",'SegEnds_Xtal_BW#'!$A:$Z,23,FALSE)</f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19</v>
      </c>
      <c r="AE192" s="1">
        <f>VLOOKUP(A192,'SegEnds_NonXtal_Prot#'!A:AL,16,FALSE)-VLOOKUP(A192,'SegEnds_NonXtal_Prot#'!A:AL,10,FALSE)</f>
        <v>51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27</v>
      </c>
      <c r="AH192" s="1">
        <f>VLOOKUP(A192,'SegEnds_NonXtal_Prot#'!A:AL,28,FALSE)-VLOOKUP(A192,'SegEnds_NonXtal_Prot#'!A:AL,22,FALSE)</f>
        <v>53</v>
      </c>
      <c r="AI192" s="1">
        <f>VLOOKUP(A192,'SegEnds_NonXtal_Prot#'!A:AL,31,FALSE)-VLOOKUP(A192,'SegEnds_NonXtal_Prot#'!A:AL,28,FALSE)</f>
        <v>51</v>
      </c>
      <c r="AJ192" s="1">
        <f>VLOOKUP(A192,'SegEnds_NonXtal_Prot#'!A:AL,34,FALSE)-VLOOKUP(A192,'SegEnds_NonXtal_Prot#'!A:AL,31,FALSE)</f>
        <v>38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344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f>VLOOKUP($B193&amp;"__wt",'SegEnds_Xtal_BW#'!$A:$Z,14,FALSE)</f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v>68</v>
      </c>
      <c r="U193" s="1">
        <v>28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27</v>
      </c>
      <c r="AH193" s="1">
        <f>VLOOKUP(A193,'SegEnds_NonXtal_Prot#'!A:AL,28,FALSE)-VLOOKUP(A193,'SegEnds_NonXtal_Prot#'!A:AL,22,FALSE)</f>
        <v>53</v>
      </c>
      <c r="AI193" s="1">
        <f>VLOOKUP(A193,'SegEnds_NonXtal_Prot#'!A:AL,31,FALSE)-VLOOKUP(A193,'SegEnds_NonXtal_Prot#'!A:AL,28,FALSE)</f>
        <v>46</v>
      </c>
      <c r="AJ193" s="1">
        <f>VLOOKUP(A193,'SegEnds_NonXtal_Prot#'!A:AL,34,FALSE)-VLOOKUP(A193,'SegEnds_NonXtal_Prot#'!A:AL,31,FALSE)</f>
        <v>46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4" t="s">
        <v>349</v>
      </c>
      <c r="B194" s="4" t="str">
        <f>VLOOKUP(A194,Xtal_Templ!A:B,2,FALSE)</f>
        <v>ptafr_human</v>
      </c>
      <c r="C194" s="5">
        <f>VLOOKUP($B194&amp;"__wt",'SegEnds_Xtal_BW#'!$A:$Z,3,FALSE)</f>
        <v>27</v>
      </c>
      <c r="D194" s="4">
        <f>VLOOKUP($B194&amp;"__wt",'SegEnds_Xtal_BW#'!$A:$Z,4,FALSE)</f>
        <v>61</v>
      </c>
      <c r="E194" s="4" t="str">
        <f>VLOOKUP($B194&amp;"__wt",'SegEnds_Xtal_BW#'!$A:$Z,5,FALSE)</f>
        <v>-</v>
      </c>
      <c r="F194" s="4" t="str">
        <f>VLOOKUP($B194&amp;"__wt",'SegEnds_Xtal_BW#'!$A:$Z,6,FALSE)</f>
        <v>-</v>
      </c>
      <c r="G194" s="4">
        <v>37</v>
      </c>
      <c r="H194" s="11">
        <v>66</v>
      </c>
      <c r="I194" s="4">
        <f>VLOOKUP($B194&amp;"__wt",'SegEnds_Xtal_BW#'!$A:$Z,9,FALSE)</f>
        <v>49</v>
      </c>
      <c r="J194" s="4">
        <f>VLOOKUP($B194&amp;"__wt",'SegEnds_Xtal_BW#'!$A:$Z,10,FALSE)</f>
        <v>52</v>
      </c>
      <c r="K194" s="11">
        <v>21</v>
      </c>
      <c r="L194" s="4">
        <f>VLOOKUP($B194&amp;"__wt",'SegEnds_Xtal_BW#'!$A:$Z,12,FALSE)</f>
        <v>56</v>
      </c>
      <c r="M194" s="4">
        <f>VLOOKUP($B194&amp;"__wt",'SegEnds_Xtal_BW#'!$A:$Z,13,FALSE)</f>
        <v>50</v>
      </c>
      <c r="N194" s="108">
        <v>56</v>
      </c>
      <c r="O194" s="87">
        <f>VLOOKUP($B194&amp;"__wt",'SegEnds_Xtal_BW#'!$A:$Z,15,FALSE)</f>
        <v>38</v>
      </c>
      <c r="P194" s="4">
        <f>VLOOKUP($B194&amp;"__wt",'SegEnds_Xtal_BW#'!$A:$Z,16,FALSE)</f>
        <v>63</v>
      </c>
      <c r="Q194" s="4">
        <f>VLOOKUP($B194&amp;"__wt",'SegEnds_Xtal_BW#'!$A:$Z,17,FALSE)</f>
        <v>50</v>
      </c>
      <c r="R194" s="4">
        <f>VLOOKUP($B194&amp;"__wt",'SegEnds_Xtal_BW#'!$A:$Z,18,FALSE)</f>
        <v>52</v>
      </c>
      <c r="S194" s="4">
        <f>VLOOKUP($B194&amp;"__wt",'SegEnds_Xtal_BW#'!$A:$Z,19,FALSE)</f>
        <v>33</v>
      </c>
      <c r="T194" s="4">
        <f t="array" ref="T194">INDEX(ICL3_classA!$G$2:$G$39,MATCH(MIN(ABS(AI194-ICL3_classA!$F$2:$F$39)),ABS(AI194-ICL3_classA!$F$2:$F$39),0))</f>
        <v>68</v>
      </c>
      <c r="U194" s="4">
        <f t="array" ref="U194">INDEX(ICL3_classA!$H$2:$H$39,MATCH(MIN(ABS(AI194-ICL3_classA!$F$2:$F$39)),ABS(AI194-ICL3_classA!$F$2:$F$39),0))</f>
        <v>24</v>
      </c>
      <c r="V194" s="4">
        <v>64</v>
      </c>
      <c r="W194" s="4">
        <v>24</v>
      </c>
      <c r="X194" s="4">
        <f>VLOOKUP($B194&amp;"__wt",'SegEnds_Xtal_BW#'!$A:$Z,24,FALSE)</f>
        <v>59</v>
      </c>
      <c r="Y194" s="4">
        <f>VLOOKUP($B194&amp;"__wt",'SegEnds_Xtal_BW#'!$A:$Z,25,FALSE)</f>
        <v>50</v>
      </c>
      <c r="Z194" s="4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4" t="e">
        <f>VLOOKUP(A194,'SegEnds_NonXtal_Prot#'!A:AL,10,FALSE)-VLOOKUP(A194,'SegEnds_NonXtal_Prot#'!A:AL,7,FALSE)</f>
        <v>#VALUE!</v>
      </c>
      <c r="AD194" s="4">
        <f>VLOOKUP(A194,'SegEnds_NonXtal_Prot#'!A:AL,13,FALSE)-VLOOKUP(A194,'SegEnds_NonXtal_Prot#'!A:AL,10,FALSE)</f>
        <v>19</v>
      </c>
      <c r="AE194" s="4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19</v>
      </c>
      <c r="AG194" s="4">
        <f>VLOOKUP(A194,'SegEnds_NonXtal_Prot#'!A:AL,28,FALSE)-VLOOKUP(A194,'SegEnds_NonXtal_Prot#'!A:AL,25,FALSE)</f>
        <v>29</v>
      </c>
      <c r="AH194" s="1">
        <f>VLOOKUP(A194,'SegEnds_NonXtal_Prot#'!A:AL,28,FALSE)-VLOOKUP(A194,'SegEnds_NonXtal_Prot#'!A:AL,22,FALSE)</f>
        <v>53</v>
      </c>
      <c r="AI194" s="4">
        <f>VLOOKUP(A194,'SegEnds_NonXtal_Prot#'!A:AL,31,FALSE)-VLOOKUP(A194,'SegEnds_NonXtal_Prot#'!A:AL,28,FALSE)</f>
        <v>48</v>
      </c>
      <c r="AJ194" s="4">
        <f>VLOOKUP(A194,'SegEnds_NonXtal_Prot#'!A:AL,34,FALSE)-VLOOKUP(A194,'SegEnds_NonXtal_Prot#'!A:AL,31,FALSE)</f>
        <v>44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365</v>
      </c>
      <c r="B195" s="1" t="str">
        <f>VLOOKUP(A195,Xtal_Templ!A:B,2,FALSE)</f>
        <v>pe2r4_human</v>
      </c>
      <c r="C195" s="5">
        <f>VLOOKUP($B195&amp;"__wt",'SegEnds_Xtal_BW#'!$A:$Z,3,FALSE)</f>
        <v>33</v>
      </c>
      <c r="D195" s="1">
        <f>VLOOKUP($B195&amp;"__wt",'SegEnds_Xtal_BW#'!$A:$Z,4,FALSE)</f>
        <v>58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63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">
        <v>31</v>
      </c>
      <c r="X195" s="108"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29</v>
      </c>
      <c r="AC195" s="1" t="e">
        <f>VLOOKUP(A195,'SegEnds_NonXtal_Prot#'!A:AL,10,FALSE)-VLOOKUP(A195,'SegEnds_NonXtal_Prot#'!A:AL,7,FALSE)</f>
        <v>#VALUE!</v>
      </c>
      <c r="AD195" s="1" t="e">
        <f>VLOOKUP(A195,'SegEnds_NonXtal_Prot#'!A:AL,13,FALSE)-VLOOKUP(A195,'SegEnds_NonXtal_Prot#'!A:AL,10,FALSE)</f>
        <v>#VALUE!</v>
      </c>
      <c r="AE195" s="1">
        <f>VLOOKUP(A195,'SegEnds_NonXtal_Prot#'!A:AL,16,FALSE)-VLOOKUP(A195,'SegEnds_NonXtal_Prot#'!A:AL,10,FALSE)</f>
        <v>57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27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35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4" t="s">
        <v>368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68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87">
        <f>VLOOKUP($B196&amp;"__wt",'SegEnds_Xtal_BW#'!$A:$Z,15,FALSE)</f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33</v>
      </c>
      <c r="T196" s="4">
        <f t="array" ref="T196">INDEX(ICL3_classA!$G$2:$G$39,MATCH(MIN(ABS(AI196-ICL3_classA!$F$2:$F$39)),ABS(AI196-ICL3_classA!$F$2:$F$39),0))</f>
        <v>73</v>
      </c>
      <c r="U196" s="4">
        <f t="array" ref="U196">INDEX(ICL3_classA!$H$2:$H$39,MATCH(MIN(ABS(AI196-ICL3_classA!$F$2:$F$39)),ABS(AI196-ICL3_classA!$F$2:$F$39),0))</f>
        <v>22</v>
      </c>
      <c r="V196" s="4">
        <v>61</v>
      </c>
      <c r="W196" s="131">
        <f>VLOOKUP($B196&amp;"__wt",'SegEnds_Xtal_BW#'!$A:$Z,23,FALSE)</f>
        <v>27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4">
        <f>VLOOKUP(A196,'SegEnds_NonXtal_Prot#'!A:AL,10,FALSE)-VLOOKUP(A196,'SegEnds_NonXtal_Prot#'!A:AL,7,FALSE)</f>
        <v>15</v>
      </c>
      <c r="AD196" s="4">
        <f>VLOOKUP(A196,'SegEnds_NonXtal_Prot#'!A:AL,13,FALSE)-VLOOKUP(A196,'SegEnds_NonXtal_Prot#'!A:AL,10,FALSE)</f>
        <v>21</v>
      </c>
      <c r="AE196" s="4">
        <f>VLOOKUP(A196,'SegEnds_NonXtal_Prot#'!A:AL,16,FALSE)-VLOOKUP(A196,'SegEnds_NonXtal_Prot#'!A:AL,10,FALSE)</f>
        <v>53</v>
      </c>
      <c r="AF196" s="1">
        <f>VLOOKUP(A196,'SegEnds_NonXtal_Prot#'!A:AL,22,FALSE)-VLOOKUP(A196,'SegEnds_NonXtal_Prot#'!A:AL,19,FALSE)</f>
        <v>18</v>
      </c>
      <c r="AG196" s="4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53</v>
      </c>
      <c r="AI196" s="4">
        <f>VLOOKUP(A196,'SegEnds_NonXtal_Prot#'!A:AL,31,FALSE)-VLOOKUP(A196,'SegEnds_NonXtal_Prot#'!A:AL,28,FALSE)</f>
        <v>56</v>
      </c>
      <c r="AJ196" s="4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380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INDEX(ICL3_classA!$G$2:$G$39,MATCH(MIN(ABS(AI197-ICL3_classA!$F$2:$F$39)),ABS(AI197-ICL3_classA!$F$2:$F$39),0))</f>
        <v>68</v>
      </c>
      <c r="U197" s="1">
        <f t="array" ref="U197">INDEX(ICL3_classA!$H$2:$H$39,MATCH(MIN(ABS(AI197-ICL3_classA!$F$2:$F$39)),ABS(AI197-ICL3_classA!$F$2:$F$39),0))</f>
        <v>23</v>
      </c>
      <c r="V197" s="1">
        <v>61</v>
      </c>
      <c r="W197" s="1">
        <v>32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51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51</v>
      </c>
      <c r="AJ197" s="1">
        <f>VLOOKUP(A197,'SegEnds_NonXtal_Prot#'!A:AL,34,FALSE)-VLOOKUP(A197,'SegEnds_NonXtal_Prot#'!A:AL,31,FALSE)</f>
        <v>34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381</v>
      </c>
      <c r="B198" s="1" t="str">
        <f>VLOOKUP(A198,Xtal_Templ!A:B,2,FALSE)</f>
        <v>oprk_human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INDEX(ICL3_classA!$G$2:$G$39,MATCH(MIN(ABS(AI198-ICL3_classA!$F$2:$F$39)),ABS(AI198-ICL3_classA!$F$2:$F$39),0))</f>
        <v>68</v>
      </c>
      <c r="U198" s="1">
        <f t="array" ref="U198">INDEX(ICL3_classA!$H$2:$H$39,MATCH(MIN(ABS(AI198-ICL3_classA!$F$2:$F$39)),ABS(AI198-ICL3_classA!$F$2:$F$39),0))</f>
        <v>23</v>
      </c>
      <c r="V198" s="1">
        <v>61</v>
      </c>
      <c r="W198" s="131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19</v>
      </c>
      <c r="AE198" s="1">
        <f>VLOOKUP(A198,'SegEnds_NonXtal_Prot#'!A:AL,16,FALSE)-VLOOKUP(A198,'SegEnds_NonXtal_Prot#'!A:AL,10,FALSE)</f>
        <v>51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51</v>
      </c>
      <c r="AJ198" s="1">
        <f>VLOOKUP(A198,'SegEnds_NonXtal_Prot#'!A:AL,34,FALSE)-VLOOKUP(A198,'SegEnds_NonXtal_Prot#'!A:AL,31,FALSE)</f>
        <v>38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387</v>
      </c>
      <c r="B199" s="1" t="str">
        <f>VLOOKUP(A199,Xtal_Templ!A:B,2,FALSE)</f>
        <v>adrb2_human</v>
      </c>
      <c r="C199" s="5">
        <f>VLOOKUP($B199&amp;"__wt",'SegEnds_Xtal_BW#'!$A:$Z,3,FALSE)</f>
        <v>25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31</v>
      </c>
      <c r="X199" s="108"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20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56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388</v>
      </c>
      <c r="B200" s="1" t="str">
        <f>VLOOKUP(A200,Xtal_Templ!A:B,2,FALSE)</f>
        <v>drd2_human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INDEX(ICL3_classA!$G$2:$G$39,MATCH(MIN(ABS(AI200-ICL3_classA!$F$2:$F$39)),ABS(AI200-ICL3_classA!$F$2:$F$39),0))</f>
        <v>74</v>
      </c>
      <c r="U200" s="1">
        <f t="array" ref="U200">INDEX(ICL3_classA!$H$2:$H$39,MATCH(MIN(ABS(AI200-ICL3_classA!$F$2:$F$39)),ABS(AI200-ICL3_classA!$F$2:$F$39),0))</f>
        <v>21</v>
      </c>
      <c r="V200" s="1">
        <v>61</v>
      </c>
      <c r="W200" s="1">
        <v>31</v>
      </c>
      <c r="X200" s="108"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20</v>
      </c>
      <c r="AH200" s="1">
        <f>VLOOKUP(A200,'SegEnds_NonXtal_Prot#'!A:AL,28,FALSE)-VLOOKUP(A200,'SegEnds_NonXtal_Prot#'!A:AL,22,FALSE)</f>
        <v>53</v>
      </c>
      <c r="AI200" s="1">
        <f>VLOOKUP(A200,'SegEnds_NonXtal_Prot#'!A:AL,31,FALSE)-VLOOKUP(A200,'SegEnds_NonXtal_Prot#'!A:AL,28,FALSE)</f>
        <v>62</v>
      </c>
      <c r="AJ200" s="1">
        <f>VLOOKUP(A200,'SegEnds_NonXtal_Prot#'!A:AL,34,FALSE)-VLOOKUP(A200,'SegEnds_NonXtal_Prot#'!A:AL,31,FALSE)</f>
        <v>35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393</v>
      </c>
      <c r="B201" s="1" t="str">
        <f>VLOOKUP(A201,Xtal_Templ!A:B,2,FALSE)</f>
        <v>oprx_human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INDEX(ICL3_classA!$G$2:$G$39,MATCH(MIN(ABS(AI201-ICL3_classA!$F$2:$F$39)),ABS(AI201-ICL3_classA!$F$2:$F$39),0))</f>
        <v>76</v>
      </c>
      <c r="U201" s="1">
        <f t="array" ref="U201">INDEX(ICL3_classA!$H$2:$H$39,MATCH(MIN(ABS(AI201-ICL3_classA!$F$2:$F$39)),ABS(AI201-ICL3_classA!$F$2:$F$39),0))</f>
        <v>24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78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396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08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INDEX(ICL3_classA!$G$2:$G$39,MATCH(MIN(ABS(AI202-ICL3_classA!$F$2:$F$39)),ABS(AI202-ICL3_classA!$F$2:$F$39),0))</f>
        <v>76</v>
      </c>
      <c r="U202" s="1">
        <f t="array" ref="U202">INDEX(ICL3_classA!$H$2:$H$39,MATCH(MIN(ABS(AI202-ICL3_classA!$F$2:$F$39)),ABS(AI202-ICL3_classA!$F$2:$F$39),0))</f>
        <v>24</v>
      </c>
      <c r="V202" s="1">
        <v>61</v>
      </c>
      <c r="W202" s="131">
        <f>VLOOKUP($B202&amp;"__wt",'SegEnds_Xtal_BW#'!$A:$Z,23,FALSE)</f>
        <v>27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63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53</v>
      </c>
      <c r="AI202" s="1">
        <f>VLOOKUP(A202,'SegEnds_NonXtal_Prot#'!A:AL,31,FALSE)-VLOOKUP(A202,'SegEnds_NonXtal_Prot#'!A:AL,28,FALSE)</f>
        <v>78</v>
      </c>
      <c r="AJ202" s="1">
        <f>VLOOKUP(A202,'SegEnds_NonXtal_Prot#'!A:AL,34,FALSE)-VLOOKUP(A202,'SegEnds_NonXtal_Prot#'!A:AL,31,FALSE)</f>
        <v>39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397</v>
      </c>
      <c r="B203" s="1" t="str">
        <f>VLOOKUP(A203,Xtal_Templ!A:B,2,FALSE)</f>
        <v>ntr1_human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08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INDEX(ICL3_classA!$G$2:$G$39,MATCH(MIN(ABS(AI203-ICL3_classA!$F$2:$F$39)),ABS(AI203-ICL3_classA!$F$2:$F$39),0))</f>
        <v>76</v>
      </c>
      <c r="U203" s="1">
        <f t="array" ref="U203">INDEX(ICL3_classA!$H$2:$H$39,MATCH(MIN(ABS(AI203-ICL3_classA!$F$2:$F$39)),ABS(AI203-ICL3_classA!$F$2:$F$39),0))</f>
        <v>24</v>
      </c>
      <c r="V203" s="1">
        <v>61</v>
      </c>
      <c r="W203" s="131">
        <f>VLOOKUP($B203&amp;"__wt",'SegEnds_Xtal_BW#'!$A:$Z,23,FALSE)</f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62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18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85</v>
      </c>
      <c r="AJ203" s="1">
        <f>VLOOKUP(A203,'SegEnds_NonXtal_Prot#'!A:AL,34,FALSE)-VLOOKUP(A203,'SegEnds_NonXtal_Prot#'!A:AL,31,FALSE)</f>
        <v>39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398</v>
      </c>
      <c r="B204" s="1" t="str">
        <f>VLOOKUP(A204,Xtal_Templ!A:B,2,FALSE)</f>
        <v>mtr1b_human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08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INDEX(ICL3_classA!$G$2:$G$39,MATCH(MIN(ABS(AI204-ICL3_classA!$F$2:$F$39)),ABS(AI204-ICL3_classA!$F$2:$F$39),0))</f>
        <v>76</v>
      </c>
      <c r="U204" s="1">
        <f t="array" ref="U204">INDEX(ICL3_classA!$H$2:$H$39,MATCH(MIN(ABS(AI204-ICL3_classA!$F$2:$F$39)),ABS(AI204-ICL3_classA!$F$2:$F$39),0))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63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30</v>
      </c>
      <c r="AC204" s="1">
        <f>VLOOKUP(A204,'SegEnds_NonXtal_Prot#'!A:AL,10,FALSE)-VLOOKUP(A204,'SegEnds_NonXtal_Prot#'!A:AL,7,FALSE)</f>
        <v>16</v>
      </c>
      <c r="AD204" s="1">
        <f>VLOOKUP(A204,'SegEnds_NonXtal_Prot#'!A:AL,13,FALSE)-VLOOKUP(A204,'SegEnds_NonXtal_Prot#'!A:AL,10,FALSE)</f>
        <v>18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69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141</v>
      </c>
      <c r="B205" s="1" t="str">
        <f>VLOOKUP(A205,Xtal_Templ!A:B,2,FALSE)</f>
        <v>aa1r_human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08">
        <v>66</v>
      </c>
      <c r="I205" s="1">
        <f>VLOOKUP($B205&amp;"__wt",'SegEnds_Xtal_BW#'!$A:$Z,9,FALSE)</f>
        <v>50</v>
      </c>
      <c r="J205" s="1">
        <f>VLOOKUP($B205&amp;"__wt",'SegEnds_Xtal_BW#'!$A:$Z,10,FALSE)</f>
        <v>52</v>
      </c>
      <c r="K205" s="12">
        <v>24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63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73</v>
      </c>
      <c r="U205" s="1">
        <f t="array" ref="U205">INDEX(ICL3_classA!$H$2:$H$39,MATCH(MIN(ABS(AI205-ICL3_classA!$F$2:$F$39)),ABS(AI205-ICL3_classA!$F$2:$F$39),0))</f>
        <v>22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18</v>
      </c>
      <c r="AE205" s="1">
        <f>VLOOKUP(A205,'SegEnds_NonXtal_Prot#'!A:AL,16,FALSE)-VLOOKUP(A205,'SegEnds_NonXtal_Prot#'!A:AL,10,FALSE)</f>
        <v>50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23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56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102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INDEX(ICL3_classA!$G$2:$G$39,MATCH(MIN(ABS(AI206-ICL3_classA!$F$2:$F$39)),ABS(AI206-ICL3_classA!$F$2:$F$39),0))</f>
        <v>76</v>
      </c>
      <c r="U206" s="1">
        <f t="array" ref="U206">INDEX(ICL3_classA!$H$2:$H$39,MATCH(MIN(ABS(AI206-ICL3_classA!$F$2:$F$39)),ABS(AI206-ICL3_classA!$F$2:$F$39),0))</f>
        <v>24</v>
      </c>
      <c r="V206" s="1">
        <v>61</v>
      </c>
      <c r="W206" s="1">
        <v>31</v>
      </c>
      <c r="X206" s="124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91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9</v>
      </c>
      <c r="AL206" s="1" t="str">
        <f>IF(ISERROR(MATCH(A206,'SegEnds_Xtal_Prot#'!B:B, 0)), "NoXtal", "Xtal")</f>
        <v>NoXtal</v>
      </c>
    </row>
    <row r="207" spans="1:38" x14ac:dyDescent="0.2">
      <c r="A207" s="1" t="s">
        <v>158</v>
      </c>
      <c r="B207" s="1" t="str">
        <f>VLOOKUP(A207,Xtal_Templ!A:B,2,FALSE)</f>
        <v>agtr1_human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68</v>
      </c>
      <c r="U207" s="1">
        <f t="array" ref="U207">INDEX(ICL3_classA!$H$2:$H$39,MATCH(MIN(ABS(AI207-ICL3_classA!$F$2:$F$39)),ABS(AI207-ICL3_classA!$F$2:$F$39),0))</f>
        <v>24</v>
      </c>
      <c r="V207" s="1">
        <v>64</v>
      </c>
      <c r="W207" s="1">
        <v>24</v>
      </c>
      <c r="X207" s="124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48</v>
      </c>
      <c r="AJ207" s="1">
        <f>VLOOKUP(A207,'SegEnds_NonXtal_Prot#'!A:AL,34,FALSE)-VLOOKUP(A207,'SegEnds_NonXtal_Prot#'!A:AL,31,FALSE)</f>
        <v>44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162</v>
      </c>
      <c r="B208" s="1" t="str">
        <f>VLOOKUP(A208,Xtal_Templ!A:B,2,FALSE)</f>
        <v>agtr2_human</v>
      </c>
      <c r="C208" s="5">
        <f>VLOOKUP($B208&amp;"__wt",'SegEnds_Xtal_BW#'!$A:$Z,3,FALSE)</f>
        <v>33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47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08"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30</v>
      </c>
      <c r="T208" s="1">
        <f t="array" ref="T208">INDEX(ICL3_classA!$G$2:$G$39,MATCH(MIN(ABS(AI208-ICL3_classA!$F$2:$F$39)),ABS(AI208-ICL3_classA!$F$2:$F$39),0))</f>
        <v>68</v>
      </c>
      <c r="U208" s="1">
        <f t="array" ref="U208">INDEX(ICL3_classA!$H$2:$H$39,MATCH(MIN(ABS(AI208-ICL3_classA!$F$2:$F$39)),ABS(AI208-ICL3_classA!$F$2:$F$39),0))</f>
        <v>24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49</v>
      </c>
      <c r="AJ208" s="1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2" t="s">
        <v>174</v>
      </c>
      <c r="B209" s="12" t="str">
        <f>VLOOKUP(A209,Xtal_Templ!A:B,2,FALSE)</f>
        <v>ccr7_human</v>
      </c>
      <c r="C209" s="13">
        <f>VLOOKUP($B209&amp;"__wt",'SegEnds_Xtal_BW#'!$A:$Z,3,FALSE)</f>
        <v>29</v>
      </c>
      <c r="D209" s="12">
        <f>VLOOKUP($B209&amp;"__wt",'SegEnds_Xtal_BW#'!$A:$Z,4,FALSE)</f>
        <v>60</v>
      </c>
      <c r="E209" s="12">
        <f>VLOOKUP($B209&amp;"__wt",'SegEnds_Xtal_BW#'!$A:$Z,5,FALSE)</f>
        <v>48</v>
      </c>
      <c r="F209" s="12">
        <f>VLOOKUP($B209&amp;"__wt",'SegEnds_Xtal_BW#'!$A:$Z,6,FALSE)</f>
        <v>51</v>
      </c>
      <c r="G209" s="12">
        <v>37</v>
      </c>
      <c r="H209" s="12">
        <v>66</v>
      </c>
      <c r="I209" s="12">
        <f>VLOOKUP($B209&amp;"__wt",'SegEnds_Xtal_BW#'!$A:$Z,9,FALSE)</f>
        <v>49</v>
      </c>
      <c r="J209" s="12">
        <f>VLOOKUP($B209&amp;"__wt",'SegEnds_Xtal_BW#'!$A:$Z,10,FALSE)</f>
        <v>52</v>
      </c>
      <c r="K209" s="12">
        <v>21</v>
      </c>
      <c r="L209" s="12">
        <f>VLOOKUP($B209&amp;"__wt",'SegEnds_Xtal_BW#'!$A:$Z,12,FALSE)</f>
        <v>56</v>
      </c>
      <c r="M209" s="12">
        <f>VLOOKUP($B209&amp;"__wt",'SegEnds_Xtal_BW#'!$A:$Z,13,FALSE)</f>
        <v>50</v>
      </c>
      <c r="N209" s="12">
        <v>58</v>
      </c>
      <c r="O209" s="87">
        <v>38</v>
      </c>
      <c r="P209" s="12">
        <f>VLOOKUP($B209&amp;"__wt",'SegEnds_Xtal_BW#'!$A:$Z,16,FALSE)</f>
        <v>64</v>
      </c>
      <c r="Q209" s="12">
        <f>VLOOKUP($B209&amp;"__wt",'SegEnds_Xtal_BW#'!$A:$Z,17,FALSE)</f>
        <v>50</v>
      </c>
      <c r="R209" s="12">
        <f>VLOOKUP($B209&amp;"__wt",'SegEnds_Xtal_BW#'!$A:$Z,18,FALSE)</f>
        <v>52</v>
      </c>
      <c r="S209" s="12">
        <f>VLOOKUP($B209&amp;"__wt",'SegEnds_Xtal_BW#'!$A:$Z,19,FALSE)</f>
        <v>33</v>
      </c>
      <c r="T209" s="12">
        <f t="array" ref="T209">INDEX(ICL3_classA!$G$2:$G$39,MATCH(MIN(ABS(AI209-ICL3_classA!$F$2:$F$39)),ABS(AI209-ICL3_classA!$F$2:$F$39),0))</f>
        <v>68</v>
      </c>
      <c r="U209" s="12">
        <f t="array" ref="U209">INDEX(ICL3_classA!$H$2:$H$39,MATCH(MIN(ABS(AI209-ICL3_classA!$F$2:$F$39)),ABS(AI209-ICL3_classA!$F$2:$F$39),0))</f>
        <v>30</v>
      </c>
      <c r="V209" s="12">
        <v>65</v>
      </c>
      <c r="W209" s="12">
        <v>24</v>
      </c>
      <c r="X209" s="12">
        <f>VLOOKUP($B209&amp;"__wt",'SegEnds_Xtal_BW#'!$A:$Z,24,FALSE)</f>
        <v>56</v>
      </c>
      <c r="Y209" s="12">
        <f>VLOOKUP($B209&amp;"__wt",'SegEnds_Xtal_BW#'!$A:$Z,25,FALSE)</f>
        <v>47</v>
      </c>
      <c r="Z209" s="12">
        <f>VLOOKUP($B209&amp;"__wt",'SegEnds_Xtal_BW#'!$A:$Z,26,FALSE)</f>
        <v>59</v>
      </c>
      <c r="AA209" s="36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2">
        <f>VLOOKUP(A209,'SegEnds_NonXtal_Prot#'!A:AL,10,FALSE)-VLOOKUP(A209,'SegEnds_NonXtal_Prot#'!A:AL,7,FALSE)</f>
        <v>15</v>
      </c>
      <c r="AD209" s="12">
        <f>VLOOKUP(A209,'SegEnds_NonXtal_Prot#'!A:AL,13,FALSE)-VLOOKUP(A209,'SegEnds_NonXtal_Prot#'!A:AL,10,FALSE)</f>
        <v>19</v>
      </c>
      <c r="AE209" s="12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22</v>
      </c>
      <c r="AG209" s="12">
        <f>VLOOKUP(A209,'SegEnds_NonXtal_Prot#'!A:AL,28,FALSE)-VLOOKUP(A209,'SegEnds_NonXtal_Prot#'!A:AL,25,FALSE)</f>
        <v>29</v>
      </c>
      <c r="AH209" s="1">
        <f>VLOOKUP(A209,'SegEnds_NonXtal_Prot#'!A:AL,28,FALSE)-VLOOKUP(A209,'SegEnds_NonXtal_Prot#'!A:AL,22,FALSE)</f>
        <v>54</v>
      </c>
      <c r="AI209" s="12">
        <f>VLOOKUP(A209,'SegEnds_NonXtal_Prot#'!A:AL,31,FALSE)-VLOOKUP(A209,'SegEnds_NonXtal_Prot#'!A:AL,28,FALSE)</f>
        <v>43</v>
      </c>
      <c r="AJ209" s="12">
        <f>VLOOKUP(A209,'SegEnds_NonXtal_Prot#'!A:AL,34,FALSE)-VLOOKUP(A209,'SegEnds_NonXtal_Prot#'!A:AL,31,FALSE)</f>
        <v>44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NoXtal</v>
      </c>
    </row>
    <row r="210" spans="1:38" x14ac:dyDescent="0.2">
      <c r="A210" s="1" t="s">
        <v>333</v>
      </c>
      <c r="B210" s="1" t="str">
        <f>VLOOKUP(A210,Xtal_Templ!A:B,2,FALSE)</f>
        <v>opsd_bovin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08"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INDEX(ICL3_classA!$G$2:$G$39,MATCH(MIN(ABS(AI210-ICL3_classA!$F$2:$F$39)),ABS(AI210-ICL3_classA!$F$2:$F$39),0))</f>
        <v>73</v>
      </c>
      <c r="U210" s="1">
        <f t="array" ref="U210">INDEX(ICL3_classA!$H$2:$H$39,MATCH(MIN(ABS(AI210-ICL3_classA!$F$2:$F$39)),ABS(AI210-ICL3_classA!$F$2:$F$39),0))</f>
        <v>22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14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54</v>
      </c>
      <c r="AI210" s="1">
        <f>VLOOKUP(A210,'SegEnds_NonXtal_Prot#'!A:AL,31,FALSE)-VLOOKUP(A210,'SegEnds_NonXtal_Prot#'!A:AL,28,FALSE)</f>
        <v>56</v>
      </c>
      <c r="AJ210" s="1">
        <f>VLOOKUP(A210,'SegEnds_NonXtal_Prot#'!A:AL,34,FALSE)-VLOOKUP(A210,'SegEnds_NonXtal_Prot#'!A:AL,31,FALSE)</f>
        <v>36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337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08">
        <v>56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23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19</v>
      </c>
      <c r="AG211" s="1">
        <f>VLOOKUP(A211,'SegEnds_NonXtal_Prot#'!A:AL,28,FALSE)-VLOOKUP(A211,'SegEnds_NonXtal_Prot#'!A:AL,25,FALSE)</f>
        <v>28</v>
      </c>
      <c r="AH211" s="1">
        <f>VLOOKUP(A211,'SegEnds_NonXtal_Prot#'!A:AL,28,FALSE)-VLOOKUP(A211,'SegEnds_NonXtal_Prot#'!A:AL,22,FALSE)</f>
        <v>54</v>
      </c>
      <c r="AI211" s="1">
        <f>VLOOKUP(A211,'SegEnds_NonXtal_Prot#'!A:AL,31,FALSE)-VLOOKUP(A211,'SegEnds_NonXtal_Prot#'!A:AL,28,FALSE)</f>
        <v>52</v>
      </c>
      <c r="AJ211" s="1">
        <f>VLOOKUP(A211,'SegEnds_NonXtal_Prot#'!A:AL,34,FALSE)-VLOOKUP(A211,'SegEnds_NonXtal_Prot#'!A:AL,31,FALSE)</f>
        <v>36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913</v>
      </c>
      <c r="B212" s="1" t="str">
        <f>VLOOKUP(A212,Xtal_Templ!A:B,2,FALSE)</f>
        <v>opsd_bovin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08">
        <f>VLOOKUP($B212&amp;"__wt",'SegEnds_Xtal_BW#'!$A:$Z,14,FALSE)</f>
        <v>56</v>
      </c>
      <c r="O212" s="87">
        <f>VLOOKUP($B212&amp;"__wt",'SegEnds_Xtal_BW#'!$A:$Z,15,FALSE)</f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INDEX(ICL3_classA!$G$2:$G$39,MATCH(MIN(ABS(AI212-ICL3_classA!$F$2:$F$39)),ABS(AI212-ICL3_classA!$F$2:$F$39),0))</f>
        <v>72</v>
      </c>
      <c r="U212" s="1">
        <f t="array" ref="U212">INDEX(ICL3_classA!$H$2:$H$39,MATCH(MIN(ABS(AI212-ICL3_classA!$F$2:$F$39)),ABS(AI212-ICL3_classA!$F$2:$F$39),0))</f>
        <v>23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19</v>
      </c>
      <c r="AG212" s="1">
        <f>VLOOKUP(A212,'SegEnds_NonXtal_Prot#'!A:AL,28,FALSE)-VLOOKUP(A212,'SegEnds_NonXtal_Prot#'!A:AL,25,FALSE)</f>
        <v>28</v>
      </c>
      <c r="AH212" s="1">
        <f>VLOOKUP(A212,'SegEnds_NonXtal_Prot#'!A:AL,28,FALSE)-VLOOKUP(A212,'SegEnds_NonXtal_Prot#'!A:AL,22,FALSE)</f>
        <v>54</v>
      </c>
      <c r="AI212" s="1">
        <f>VLOOKUP(A212,'SegEnds_NonXtal_Prot#'!A:AL,31,FALSE)-VLOOKUP(A212,'SegEnds_NonXtal_Prot#'!A:AL,28,FALSE)</f>
        <v>52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Xtal</v>
      </c>
    </row>
    <row r="213" spans="1:38" x14ac:dyDescent="0.2">
      <c r="A213" s="1" t="s">
        <v>338</v>
      </c>
      <c r="B213" s="1" t="str">
        <f>VLOOKUP(A213,Xtal_Templ!A:B,2,FALSE)</f>
        <v>opsd_human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08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INDEX(ICL3_classA!$G$2:$G$39,MATCH(MIN(ABS(AI213-ICL3_classA!$F$2:$F$39)),ABS(AI213-ICL3_classA!$F$2:$F$39),0))</f>
        <v>72</v>
      </c>
      <c r="U213" s="1">
        <f t="array" ref="U213">INDEX(ICL3_classA!$H$2:$H$39,MATCH(MIN(ABS(AI213-ICL3_classA!$F$2:$F$39)),ABS(AI213-ICL3_classA!$F$2:$F$39),0))</f>
        <v>23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19</v>
      </c>
      <c r="AG213" s="1">
        <f>VLOOKUP(A213,'SegEnds_NonXtal_Prot#'!A:AL,28,FALSE)-VLOOKUP(A213,'SegEnds_NonXtal_Prot#'!A:AL,25,FALSE)</f>
        <v>28</v>
      </c>
      <c r="AH213" s="1">
        <f>VLOOKUP(A213,'SegEnds_NonXtal_Prot#'!A:AL,28,FALSE)-VLOOKUP(A213,'SegEnds_NonXtal_Prot#'!A:AL,22,FALSE)</f>
        <v>54</v>
      </c>
      <c r="AI213" s="1">
        <f>VLOOKUP(A213,'SegEnds_NonXtal_Prot#'!A:AL,31,FALSE)-VLOOKUP(A213,'SegEnds_NonXtal_Prot#'!A:AL,28,FALSE)</f>
        <v>52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339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56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INDEX(ICL3_classA!$G$2:$G$39,MATCH(MIN(ABS(AI214-ICL3_classA!$F$2:$F$39)),ABS(AI214-ICL3_classA!$F$2:$F$39),0))</f>
        <v>72</v>
      </c>
      <c r="U214" s="1">
        <f t="array" ref="U214">INDEX(ICL3_classA!$H$2:$H$39,MATCH(MIN(ABS(AI214-ICL3_classA!$F$2:$F$39)),ABS(AI214-ICL3_classA!$F$2:$F$39),0))</f>
        <v>23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19</v>
      </c>
      <c r="AG214" s="1">
        <f>VLOOKUP(A214,'SegEnds_NonXtal_Prot#'!A:AL,28,FALSE)-VLOOKUP(A214,'SegEnds_NonXtal_Prot#'!A:AL,25,FALSE)</f>
        <v>28</v>
      </c>
      <c r="AH214" s="1">
        <f>VLOOKUP(A214,'SegEnds_NonXtal_Prot#'!A:AL,28,FALSE)-VLOOKUP(A214,'SegEnds_NonXtal_Prot#'!A:AL,22,FALSE)</f>
        <v>54</v>
      </c>
      <c r="AI214" s="1">
        <f>VLOOKUP(A214,'SegEnds_NonXtal_Prot#'!A:AL,31,FALSE)-VLOOKUP(A214,'SegEnds_NonXtal_Prot#'!A:AL,28,FALSE)</f>
        <v>52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340</v>
      </c>
      <c r="B215" s="1" t="str">
        <f>VLOOKUP(A215,Xtal_Templ!A:B,2,FALSE)</f>
        <v>opsd_human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INDEX(ICL3_classA!$G$2:$G$39,MATCH(MIN(ABS(AI215-ICL3_classA!$F$2:$F$39)),ABS(AI215-ICL3_classA!$F$2:$F$39),0))</f>
        <v>72</v>
      </c>
      <c r="U215" s="1">
        <f t="array" ref="U215">INDEX(ICL3_classA!$H$2:$H$39,MATCH(MIN(ABS(AI215-ICL3_classA!$F$2:$F$39)),ABS(AI215-ICL3_classA!$F$2:$F$39),0))</f>
        <v>23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52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360</v>
      </c>
      <c r="B216" s="1" t="str">
        <f>VLOOKUP(A216,Xtal_Templ!A:B,2,FALSE)</f>
        <v>ta2r_human</v>
      </c>
      <c r="C216" s="5">
        <f>VLOOKUP($B216&amp;"__wt",'SegEnds_Xtal_BW#'!$A:$Z,3,FALSE)</f>
        <v>35</v>
      </c>
      <c r="D216" s="108">
        <v>61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53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08">
        <v>50</v>
      </c>
      <c r="R216" s="108">
        <v>52</v>
      </c>
      <c r="S216" s="108">
        <v>31</v>
      </c>
      <c r="T216" s="1">
        <f t="array" ref="T216">INDEX(ICL3_classA!$G$2:$G$39,MATCH(MIN(ABS(AI216-ICL3_classA!$F$2:$F$39)),ABS(AI216-ICL3_classA!$F$2:$F$39),0))</f>
        <v>74</v>
      </c>
      <c r="U216" s="1">
        <f t="array" ref="U216">INDEX(ICL3_classA!$H$2:$H$39,MATCH(MIN(ABS(AI216-ICL3_classA!$F$2:$F$39)),ABS(AI216-ICL3_classA!$F$2:$F$39),0))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66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34</v>
      </c>
      <c r="AC216" s="1">
        <f>VLOOKUP(A216,'SegEnds_NonXtal_Prot#'!A:AL,10,FALSE)-VLOOKUP(A216,'SegEnds_NonXtal_Prot#'!A:AL,7,FALSE)</f>
        <v>20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96</v>
      </c>
      <c r="AJ216" s="1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364</v>
      </c>
      <c r="B217" s="1" t="str">
        <f>VLOOKUP(A217,Xtal_Templ!A:B,2,FALSE)</f>
        <v>ta2r_human</v>
      </c>
      <c r="C217" s="5">
        <f>VLOOKUP($B217&amp;"__wt",'SegEnds_Xtal_BW#'!$A:$Z,3,FALSE)</f>
        <v>35</v>
      </c>
      <c r="D217" s="108"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53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08">
        <v>50</v>
      </c>
      <c r="R217" s="108">
        <v>52</v>
      </c>
      <c r="S217" s="1">
        <v>35</v>
      </c>
      <c r="T217" s="1">
        <f t="array" ref="T217">INDEX(ICL3_classA!$G$2:$G$39,MATCH(MIN(ABS(AI217-ICL3_classA!$F$2:$F$39)),ABS(AI217-ICL3_classA!$F$2:$F$39),0))</f>
        <v>72</v>
      </c>
      <c r="U217" s="1">
        <f t="array" ref="U217">INDEX(ICL3_classA!$H$2:$H$39,MATCH(MIN(ABS(AI217-ICL3_classA!$F$2:$F$39)),ABS(AI217-ICL3_classA!$F$2:$F$39),0))</f>
        <v>29</v>
      </c>
      <c r="V217" s="1">
        <v>61</v>
      </c>
      <c r="W217" s="1">
        <v>31</v>
      </c>
      <c r="X217" s="108">
        <v>56</v>
      </c>
      <c r="Y217" s="108">
        <v>47</v>
      </c>
      <c r="Z217" s="1">
        <f>VLOOKUP($B217&amp;"__wt",'SegEnds_Xtal_BW#'!$A:$Z,26,FALSE)</f>
        <v>66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33</v>
      </c>
      <c r="AC217" s="1">
        <f>VLOOKUP(A217,'SegEnds_NonXtal_Prot#'!A:AL,10,FALSE)-VLOOKUP(A217,'SegEnds_NonXtal_Prot#'!A:AL,7,FALSE)</f>
        <v>19</v>
      </c>
      <c r="AD217" s="1">
        <f>VLOOKUP(A217,'SegEnds_NonXtal_Prot#'!A:AL,13,FALSE)-VLOOKUP(A217,'SegEnds_NonXtal_Prot#'!A:AL,10,FALSE)</f>
        <v>21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28</v>
      </c>
      <c r="AH217" s="1">
        <f>VLOOKUP(A217,'SegEnds_NonXtal_Prot#'!A:AL,28,FALSE)-VLOOKUP(A217,'SegEnds_NonXtal_Prot#'!A:AL,22,FALSE)</f>
        <v>54</v>
      </c>
      <c r="AI217" s="1">
        <f>VLOOKUP(A217,'SegEnds_NonXtal_Prot#'!A:AL,31,FALSE)-VLOOKUP(A217,'SegEnds_NonXtal_Prot#'!A:AL,28,FALSE)</f>
        <v>50</v>
      </c>
      <c r="AJ217" s="1">
        <f>VLOOKUP(A217,'SegEnds_NonXtal_Prot#'!A:AL,34,FALSE)-VLOOKUP(A217,'SegEnds_NonXtal_Prot#'!A:AL,31,FALSE)</f>
        <v>37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386</v>
      </c>
      <c r="B218" s="1" t="str">
        <f>VLOOKUP(A218,Xtal_Templ!A:B,2,FALSE)</f>
        <v>drd2_human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INDEX(ICL3_classA!$G$2:$G$39,MATCH(MIN(ABS(AI218-ICL3_classA!$F$2:$F$39)),ABS(AI218-ICL3_classA!$F$2:$F$39),0))</f>
        <v>74</v>
      </c>
      <c r="U218" s="1">
        <f t="array" ref="U218">INDEX(ICL3_classA!$H$2:$H$39,MATCH(MIN(ABS(AI218-ICL3_classA!$F$2:$F$39)),ABS(AI218-ICL3_classA!$F$2:$F$39),0))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20</v>
      </c>
      <c r="AH218" s="1">
        <f>VLOOKUP(A218,'SegEnds_NonXtal_Prot#'!A:AL,28,FALSE)-VLOOKUP(A218,'SegEnds_NonXtal_Prot#'!A:AL,22,FALSE)</f>
        <v>54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144</v>
      </c>
      <c r="B219" s="1" t="str">
        <f>VLOOKUP(A219,Xtal_Templ!A:B,2,FALSE)</f>
        <v>ccr7_human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58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30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 t="e">
        <f>VLOOKUP(A219,'SegEnds_NonXtal_Prot#'!A:AL,22,FALSE)-VLOOKUP(A219,'SegEnds_NonXtal_Prot#'!A:AL,19,FALSE)</f>
        <v>#VALUE!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159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08">
        <v>38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56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INDEX(ICL3_classA!$G$2:$G$39,MATCH(MIN(ABS(AI220-ICL3_classA!$F$2:$F$39)),ABS(AI220-ICL3_classA!$F$2:$F$39),0))</f>
        <v>68</v>
      </c>
      <c r="U220" s="1">
        <f t="array" ref="U220">INDEX(ICL3_classA!$H$2:$H$39,MATCH(MIN(ABS(AI220-ICL3_classA!$F$2:$F$39)),ABS(AI220-ICL3_classA!$F$2:$F$39),0))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48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167</v>
      </c>
      <c r="B221" s="1" t="str">
        <f>VLOOKUP(A221,Xtal_Templ!A:B,2,FALSE)</f>
        <v>ox1r_human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INDEX(ICL3_classA!$G$2:$G$39,MATCH(MIN(ABS(AI221-ICL3_classA!$F$2:$F$39)),ABS(AI221-ICL3_classA!$F$2:$F$39),0))</f>
        <v>74</v>
      </c>
      <c r="U221" s="1">
        <f t="array" ref="U221">INDEX(ICL3_classA!$H$2:$H$39,MATCH(MIN(ABS(AI221-ICL3_classA!$F$2:$F$39)),ABS(AI221-ICL3_classA!$F$2:$F$39),0))</f>
        <v>24</v>
      </c>
      <c r="V221" s="1">
        <v>61</v>
      </c>
      <c r="W221" s="131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25</v>
      </c>
      <c r="AH221" s="1">
        <f>VLOOKUP(A221,'SegEnds_NonXtal_Prot#'!A:AL,28,FALSE)-VLOOKUP(A221,'SegEnds_NonXtal_Prot#'!A:AL,22,FALSE)</f>
        <v>55</v>
      </c>
      <c r="AI221" s="1">
        <f>VLOOKUP(A221,'SegEnds_NonXtal_Prot#'!A:AL,31,FALSE)-VLOOKUP(A221,'SegEnds_NonXtal_Prot#'!A:AL,28,FALSE)</f>
        <v>107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214</v>
      </c>
      <c r="B222" s="1" t="str">
        <f>VLOOKUP(A222,Xtal_Templ!A:B,2,FALSE)</f>
        <v>mtr1a_human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35</v>
      </c>
      <c r="T222" s="1">
        <f t="array" ref="T222">INDEX(ICL3_classA!$G$2:$G$39,MATCH(MIN(ABS(AI222-ICL3_classA!$F$2:$F$39)),ABS(AI222-ICL3_classA!$F$2:$F$39),0))</f>
        <v>73</v>
      </c>
      <c r="U222" s="1">
        <f t="array" ref="U222">INDEX(ICL3_classA!$H$2:$H$39,MATCH(MIN(ABS(AI222-ICL3_classA!$F$2:$F$39)),ABS(AI222-ICL3_classA!$F$2:$F$39),0))</f>
        <v>22</v>
      </c>
      <c r="V222" s="1">
        <v>61</v>
      </c>
      <c r="W222" s="131">
        <f>VLOOKUP($B222&amp;"__wt",'SegEnds_Xtal_BW#'!$A:$Z,23,FALSE)</f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60</v>
      </c>
      <c r="AF222" s="1" t="e">
        <f>VLOOKUP(A222,'SegEnds_NonXtal_Prot#'!A:AL,22,FALSE)-VLOOKUP(A222,'SegEnds_NonXtal_Prot#'!A:AL,19,FALSE)</f>
        <v>#VALUE!</v>
      </c>
      <c r="AG222" s="1">
        <f>VLOOKUP(A222,'SegEnds_NonXtal_Prot#'!A:AL,28,FALSE)-VLOOKUP(A222,'SegEnds_NonXtal_Prot#'!A:AL,25,FALSE)</f>
        <v>27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57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230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INDEX(ICL3_classA!$G$2:$G$39,MATCH(MIN(ABS(AI223-ICL3_classA!$F$2:$F$39)),ABS(AI223-ICL3_classA!$F$2:$F$39),0))</f>
        <v>68</v>
      </c>
      <c r="U223" s="1">
        <f t="array" ref="U223">INDEX(ICL3_classA!$H$2:$H$39,MATCH(MIN(ABS(AI223-ICL3_classA!$F$2:$F$39)),ABS(AI223-ICL3_classA!$F$2:$F$39),0))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29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289</v>
      </c>
      <c r="B224" s="1" t="str">
        <f>VLOOKUP(A224,Xtal_Templ!A:B,2,FALSE)</f>
        <v>cltr1_human</v>
      </c>
      <c r="C224" s="5">
        <f>VLOOKUP($B224&amp;"__wt",'SegEnds_Xtal_BW#'!$A:$Z,3,FALSE)</f>
        <v>20</v>
      </c>
      <c r="D224" s="108"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28</v>
      </c>
      <c r="T224" s="1">
        <f t="array" ref="T224">INDEX(ICL3_classA!$G$2:$G$39,MATCH(MIN(ABS(AI224-ICL3_classA!$F$2:$F$39)),ABS(AI224-ICL3_classA!$F$2:$F$39),0))</f>
        <v>68</v>
      </c>
      <c r="U224" s="1">
        <f t="array" ref="U224">INDEX(ICL3_classA!$H$2:$H$39,MATCH(MIN(ABS(AI224-ICL3_classA!$F$2:$F$39)),ABS(AI224-ICL3_classA!$F$2:$F$39),0))</f>
        <v>24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48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INDEX(ICL3_classA!$G$2:$G$39,MATCH(MIN(ABS(AI225-ICL3_classA!$F$2:$F$39)),ABS(AI225-ICL3_classA!$F$2:$F$39),0))</f>
        <v>76</v>
      </c>
      <c r="U225" s="1">
        <f t="array" ref="U225">INDEX(ICL3_classA!$H$2:$H$39,MATCH(MIN(ABS(AI225-ICL3_classA!$F$2:$F$39)),ABS(AI225-ICL3_classA!$F$2:$F$39),0))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907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76</v>
      </c>
      <c r="U226" s="1">
        <f t="array" ref="U226">INDEX(ICL3_classA!$H$2:$H$39,MATCH(MIN(ABS(AI226-ICL3_classA!$F$2:$F$39)),ABS(AI226-ICL3_classA!$F$2:$F$39),0))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335</v>
      </c>
      <c r="B227" s="1" t="str">
        <f>VLOOKUP(A227,Xtal_Templ!A:B,2,FALSE)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f>VLOOKUP($B227&amp;"__wt",'SegEnds_Xtal_BW#'!$A:$Z,11,FALSE)</f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23</v>
      </c>
      <c r="V227" s="1">
        <v>61</v>
      </c>
      <c r="W227" s="131">
        <f>VLOOKUP($B227&amp;"__wt",'SegEnds_Xtal_BW#'!$A:$Z,23,FALSE)</f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354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INDEX(ICL3_classA!$G$2:$G$39,MATCH(MIN(ABS(AI228-ICL3_classA!$F$2:$F$39)),ABS(AI228-ICL3_classA!$F$2:$F$39),0))</f>
        <v>67</v>
      </c>
      <c r="U228" s="1">
        <f t="array" ref="U228">INDEX(ICL3_classA!$H$2:$H$39,MATCH(MIN(ABS(AI228-ICL3_classA!$F$2:$F$39)),ABS(AI228-ICL3_classA!$F$2:$F$39),0))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355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24</v>
      </c>
      <c r="V229" s="1">
        <v>62</v>
      </c>
      <c r="W229" s="131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19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48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357</v>
      </c>
      <c r="B230" s="1" t="str">
        <f>VLOOKUP(A230,Xtal_Templ!A:B,2,FALSE)</f>
        <v>par2_human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47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62</v>
      </c>
      <c r="W230" s="131">
        <f>VLOOKUP($B230&amp;"__wt",'SegEnds_Xtal_BW#'!$A:$Z,23,FALSE)</f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42</v>
      </c>
      <c r="AJ230" s="1">
        <f>VLOOKUP(A230,'SegEnds_NonXtal_Prot#'!A:AL,34,FALSE)-VLOOKUP(A230,'SegEnds_NonXtal_Prot#'!A:AL,31,FALSE)</f>
        <v>39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358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">
        <v>28</v>
      </c>
      <c r="X231" s="124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38</v>
      </c>
      <c r="AC231" s="1" t="e">
        <f>VLOOKUP(A231,'SegEnds_NonXtal_Prot#'!A:AL,10,FALSE)-VLOOKUP(A231,'SegEnds_NonXtal_Prot#'!A:AL,7,FALSE)</f>
        <v>#VALUE!</v>
      </c>
      <c r="AD231" s="1" t="e">
        <f>VLOOKUP(A231,'SegEnds_NonXtal_Prot#'!A:AL,13,FALSE)-VLOOKUP(A231,'SegEnds_NonXtal_Prot#'!A:AL,10,FALSE)</f>
        <v>#VALUE!</v>
      </c>
      <c r="AE231" s="1">
        <f>VLOOKUP(A231,'SegEnds_NonXtal_Prot#'!A:AL,16,FALSE)-VLOOKUP(A231,'SegEnds_NonXtal_Prot#'!A:AL,10,FALSE)</f>
        <v>58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29</v>
      </c>
      <c r="AH231" s="1">
        <f>VLOOKUP(A231,'SegEnds_NonXtal_Prot#'!A:AL,28,FALSE)-VLOOKUP(A231,'SegEnds_NonXtal_Prot#'!A:AL,22,FALSE)</f>
        <v>55</v>
      </c>
      <c r="AI231" s="1">
        <f>VLOOKUP(A231,'SegEnds_NonXtal_Prot#'!A:AL,31,FALSE)-VLOOKUP(A231,'SegEnds_NonXtal_Prot#'!A:AL,28,FALSE)</f>
        <v>68</v>
      </c>
      <c r="AJ231" s="1">
        <f>VLOOKUP(A231,'SegEnds_NonXtal_Prot#'!A:AL,34,FALSE)-VLOOKUP(A231,'SegEnds_NonXtal_Prot#'!A:AL,31,FALSE)</f>
        <v>40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1434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08">
        <f>VLOOKUP($B232&amp;"__wt",'SegEnds_Xtal_BW#'!$A:$Z,14,FALSE)</f>
        <v>57</v>
      </c>
      <c r="O232" s="108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INDEX(ICL3_classA!$G$2:$G$39,MATCH(MIN(ABS(AI232-ICL3_classA!$F$2:$F$39)),ABS(AI232-ICL3_classA!$F$2:$F$39),0))</f>
        <v>68</v>
      </c>
      <c r="U232" s="1">
        <f t="array" ref="U232">INDEX(ICL3_classA!$H$2:$H$39,MATCH(MIN(ABS(AI232-ICL3_classA!$F$2:$F$39)),ABS(AI232-ICL3_classA!$F$2:$F$39),0))</f>
        <v>24</v>
      </c>
      <c r="V232" s="108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28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49</v>
      </c>
      <c r="AJ232" s="1">
        <f>VLOOKUP(A232,'SegEnds_NonXtal_Prot#'!A:AL,34,FALSE)-VLOOKUP(A232,'SegEnds_NonXtal_Prot#'!A:AL,31,FALSE)</f>
        <v>44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374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08">
        <v>56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INDEX(ICL3_classA!$G$2:$G$39,MATCH(MIN(ABS(AI233-ICL3_classA!$F$2:$F$39)),ABS(AI233-ICL3_classA!$F$2:$F$39),0))</f>
        <v>72</v>
      </c>
      <c r="U233" s="1">
        <f t="array" ref="U233">INDEX(ICL3_classA!$H$2:$H$39,MATCH(MIN(ABS(AI233-ICL3_classA!$F$2:$F$39)),ABS(AI233-ICL3_classA!$F$2:$F$39),0))</f>
        <v>23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59</v>
      </c>
      <c r="AF233" s="1">
        <f>VLOOKUP(A233,'SegEnds_NonXtal_Prot#'!A:AL,22,FALSE)-VLOOKUP(A233,'SegEnds_NonXtal_Prot#'!A:AL,19,FALSE)</f>
        <v>19</v>
      </c>
      <c r="AG233" s="1">
        <f>VLOOKUP(A233,'SegEnds_NonXtal_Prot#'!A:AL,28,FALSE)-VLOOKUP(A233,'SegEnds_NonXtal_Prot#'!A:AL,25,FALSE)</f>
        <v>28</v>
      </c>
      <c r="AH233" s="1">
        <f>VLOOKUP(A233,'SegEnds_NonXtal_Prot#'!A:AL,28,FALSE)-VLOOKUP(A233,'SegEnds_NonXtal_Prot#'!A:AL,22,FALSE)</f>
        <v>55</v>
      </c>
      <c r="AI233" s="1">
        <f>VLOOKUP(A233,'SegEnds_NonXtal_Prot#'!A:AL,31,FALSE)-VLOOKUP(A233,'SegEnds_NonXtal_Prot#'!A:AL,28,FALSE)</f>
        <v>52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375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08">
        <v>56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INDEX(ICL3_classA!$G$2:$G$39,MATCH(MIN(ABS(AI234-ICL3_classA!$F$2:$F$39)),ABS(AI234-ICL3_classA!$F$2:$F$39),0))</f>
        <v>72</v>
      </c>
      <c r="U234" s="1">
        <f t="array" ref="U234">INDEX(ICL3_classA!$H$2:$H$39,MATCH(MIN(ABS(AI234-ICL3_classA!$F$2:$F$39)),ABS(AI234-ICL3_classA!$F$2:$F$39),0))</f>
        <v>23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24</v>
      </c>
      <c r="AE234" s="1">
        <f>VLOOKUP(A234,'SegEnds_NonXtal_Prot#'!A:AL,16,FALSE)-VLOOKUP(A234,'SegEnds_NonXtal_Prot#'!A:AL,10,FALSE)</f>
        <v>59</v>
      </c>
      <c r="AF234" s="1">
        <f>VLOOKUP(A234,'SegEnds_NonXtal_Prot#'!A:AL,22,FALSE)-VLOOKUP(A234,'SegEnds_NonXtal_Prot#'!A:AL,19,FALSE)</f>
        <v>19</v>
      </c>
      <c r="AG234" s="1">
        <f>VLOOKUP(A234,'SegEnds_NonXtal_Prot#'!A:AL,28,FALSE)-VLOOKUP(A234,'SegEnds_NonXtal_Prot#'!A:AL,25,FALSE)</f>
        <v>28</v>
      </c>
      <c r="AH234" s="1">
        <f>VLOOKUP(A234,'SegEnds_NonXtal_Prot#'!A:AL,28,FALSE)-VLOOKUP(A234,'SegEnds_NonXtal_Prot#'!A:AL,22,FALSE)</f>
        <v>55</v>
      </c>
      <c r="AI234" s="1">
        <f>VLOOKUP(A234,'SegEnds_NonXtal_Prot#'!A:AL,31,FALSE)-VLOOKUP(A234,'SegEnds_NonXtal_Prot#'!A:AL,28,FALSE)</f>
        <v>52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178</v>
      </c>
      <c r="B235" s="1" t="str">
        <f>VLOOKUP(A235,Xtal_Templ!A:B,2,FALSE)</f>
        <v>ccr5_human</v>
      </c>
      <c r="C235" s="5">
        <f>VLOOKUP($B235&amp;"__wt",'SegEnds_Xtal_BW#'!$A:$Z,3,FALSE)</f>
        <v>24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63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08">
        <v>24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INDEX(ICL3_classA!$G$2:$G$39,MATCH(MIN(ABS(AI235-ICL3_classA!$F$2:$F$39)),ABS(AI235-ICL3_classA!$F$2:$F$39),0))</f>
        <v>67</v>
      </c>
      <c r="U235" s="1">
        <f t="array" ref="U235">INDEX(ICL3_classA!$H$2:$H$39,MATCH(MIN(ABS(AI235-ICL3_classA!$F$2:$F$39)),ABS(AI235-ICL3_classA!$F$2:$F$39),0))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44</v>
      </c>
      <c r="AF235" s="1">
        <f>VLOOKUP(A235,'SegEnds_NonXtal_Prot#'!A:AL,22,FALSE)-VLOOKUP(A235,'SegEnds_NonXtal_Prot#'!A:AL,19,FALSE)</f>
        <v>21</v>
      </c>
      <c r="AG235" s="1">
        <f>VLOOKUP(A235,'SegEnds_NonXtal_Prot#'!A:AL,28,FALSE)-VLOOKUP(A235,'SegEnds_NonXtal_Prot#'!A:AL,25,FALSE)</f>
        <v>31</v>
      </c>
      <c r="AH235" s="1">
        <f>VLOOKUP(A235,'SegEnds_NonXtal_Prot#'!A:AL,28,FALSE)-VLOOKUP(A235,'SegEnds_NonXtal_Prot#'!A:AL,22,FALSE)</f>
        <v>56</v>
      </c>
      <c r="AI235" s="1">
        <f>VLOOKUP(A235,'SegEnds_NonXtal_Prot#'!A:AL,31,FALSE)-VLOOKUP(A235,'SegEnds_NonXtal_Prot#'!A:AL,28,FALSE)</f>
        <v>41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188</v>
      </c>
      <c r="B236" s="1" t="str">
        <f>VLOOKUP(A236,Xtal_Templ!A:B,2,FALSE)</f>
        <v>ccr7_human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24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33</v>
      </c>
      <c r="T236" s="1">
        <f t="array" ref="T236">INDEX(ICL3_classA!$G$2:$G$39,MATCH(MIN(ABS(AI236-ICL3_classA!$F$2:$F$39)),ABS(AI236-ICL3_classA!$F$2:$F$39),0))</f>
        <v>68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56</v>
      </c>
      <c r="AI236" s="1">
        <f>VLOOKUP(A236,'SegEnds_NonXtal_Prot#'!A:AL,31,FALSE)-VLOOKUP(A236,'SegEnds_NonXtal_Prot#'!A:AL,28,FALSE)</f>
        <v>44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198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INDEX(ICL3_classA!$G$2:$G$39,MATCH(MIN(ABS(AI237-ICL3_classA!$F$2:$F$39)),ABS(AI237-ICL3_classA!$F$2:$F$39),0))</f>
        <v>68</v>
      </c>
      <c r="U237" s="1">
        <f t="array" ref="U237">INDEX(ICL3_classA!$H$2:$H$39,MATCH(MIN(ABS(AI237-ICL3_classA!$F$2:$F$39)),ABS(AI237-ICL3_classA!$F$2:$F$39),0))</f>
        <v>28</v>
      </c>
      <c r="V237" s="1">
        <v>61</v>
      </c>
      <c r="W237" s="1">
        <v>33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56</v>
      </c>
      <c r="AI237" s="1">
        <f>VLOOKUP(A237,'SegEnds_NonXtal_Prot#'!A:AL,31,FALSE)-VLOOKUP(A237,'SegEnds_NonXtal_Prot#'!A:AL,28,FALSE)</f>
        <v>44</v>
      </c>
      <c r="AJ237" s="1">
        <f>VLOOKUP(A237,'SegEnds_NonXtal_Prot#'!A:AL,34,FALSE)-VLOOKUP(A237,'SegEnds_NonXtal_Prot#'!A:AL,31,FALSE)</f>
        <v>33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199</v>
      </c>
      <c r="B238" s="4" t="str">
        <f>VLOOKUP(A238,Xtal_Templ!A:B,2,FALSE)</f>
        <v>ox2r_human</v>
      </c>
      <c r="C238" s="5">
        <f>VLOOKUP($B238&amp;"__wt",'SegEnds_Xtal_BW#'!$A:$Z,3,FALSE)</f>
        <v>31</v>
      </c>
      <c r="D238" s="4">
        <f>VLOOKUP($B238&amp;"__wt",'SegEnds_Xtal_BW#'!$A:$Z,4,FALSE)</f>
        <v>60</v>
      </c>
      <c r="E238" s="4">
        <f>VLOOKUP($B238&amp;"__wt",'SegEnds_Xtal_BW#'!$A:$Z,5,FALSE)</f>
        <v>48</v>
      </c>
      <c r="F238" s="4">
        <f>VLOOKUP($B238&amp;"__wt",'SegEnds_Xtal_BW#'!$A:$Z,6,FALSE)</f>
        <v>51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1">
        <v>57</v>
      </c>
      <c r="O238" s="87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INDEX(ICL3_classA!$G$2:$G$39,MATCH(MIN(ABS(AI238-ICL3_classA!$F$2:$F$39)),ABS(AI238-ICL3_classA!$F$2:$F$39),0))</f>
        <v>76</v>
      </c>
      <c r="U238" s="4">
        <f t="array" ref="U238">INDEX(ICL3_classA!$H$2:$H$39,MATCH(MIN(ABS(AI238-ICL3_classA!$F$2:$F$39)),ABS(AI238-ICL3_classA!$F$2:$F$39),0))</f>
        <v>24</v>
      </c>
      <c r="V238" s="4">
        <v>61</v>
      </c>
      <c r="W238" s="131">
        <f>VLOOKUP($B238&amp;"__wt",'SegEnds_Xtal_BW#'!$A:$Z,23,FALSE)</f>
        <v>27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27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4">
        <f>VLOOKUP(A238,'SegEnds_NonXtal_Prot#'!A:AL,28,FALSE)-VLOOKUP(A238,'SegEnds_NonXtal_Prot#'!A:AL,25,FALSE)</f>
        <v>25</v>
      </c>
      <c r="AH238" s="1">
        <f>VLOOKUP(A238,'SegEnds_NonXtal_Prot#'!A:AL,28,FALSE)-VLOOKUP(A238,'SegEnds_NonXtal_Prot#'!A:AL,22,FALSE)</f>
        <v>56</v>
      </c>
      <c r="AI238" s="4">
        <f>VLOOKUP(A238,'SegEnds_NonXtal_Prot#'!A:AL,31,FALSE)-VLOOKUP(A238,'SegEnds_NonXtal_Prot#'!A:AL,28,FALSE)</f>
        <v>76</v>
      </c>
      <c r="AJ238" s="4">
        <f>VLOOKUP(A238,'SegEnds_NonXtal_Prot#'!A:AL,34,FALSE)-VLOOKUP(A238,'SegEnds_NonXtal_Prot#'!A:AL,31,FALSE)</f>
        <v>39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208</v>
      </c>
      <c r="B239" s="1" t="str">
        <f>VLOOKUP(A239,Xtal_Templ!A:B,2,FALSE)</f>
        <v>ntr1_human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INDEX(ICL3_classA!$G$2:$G$39,MATCH(MIN(ABS(AI239-ICL3_classA!$F$2:$F$39)),ABS(AI239-ICL3_classA!$F$2:$F$39),0))</f>
        <v>72</v>
      </c>
      <c r="U239" s="1">
        <f t="array" ref="U239">INDEX(ICL3_classA!$H$2:$H$39,MATCH(MIN(ABS(AI239-ICL3_classA!$F$2:$F$39)),ABS(AI239-ICL3_classA!$F$2:$F$39),0))</f>
        <v>24</v>
      </c>
      <c r="V239" s="1">
        <v>61</v>
      </c>
      <c r="W239" s="1">
        <v>28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56</v>
      </c>
      <c r="AI239" s="1">
        <f>VLOOKUP(A239,'SegEnds_NonXtal_Prot#'!A:AL,31,FALSE)-VLOOKUP(A239,'SegEnds_NonXtal_Prot#'!A:AL,28,FALSE)</f>
        <v>54</v>
      </c>
      <c r="AJ239" s="1">
        <f>VLOOKUP(A239,'SegEnds_NonXtal_Prot#'!A:AL,34,FALSE)-VLOOKUP(A239,'SegEnds_NonXtal_Prot#'!A:AL,31,FALSE)</f>
        <v>42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216</v>
      </c>
      <c r="B240" s="1" t="str">
        <f>VLOOKUP(A240,Xtal_Templ!A:B,2,FALSE)</f>
        <v>ccr7_human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INDEX(ICL3_classA!$G$2:$G$39,MATCH(MIN(ABS(AI240-ICL3_classA!$F$2:$F$39)),ABS(AI240-ICL3_classA!$F$2:$F$39),0))</f>
        <v>68</v>
      </c>
      <c r="U240" s="1">
        <f t="array" ref="U240">INDEX(ICL3_classA!$H$2:$H$39,MATCH(MIN(ABS(AI240-ICL3_classA!$F$2:$F$39)),ABS(AI240-ICL3_classA!$F$2:$F$39),0))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30</v>
      </c>
      <c r="AH240" s="1">
        <f>VLOOKUP(A240,'SegEnds_NonXtal_Prot#'!A:AL,28,FALSE)-VLOOKUP(A240,'SegEnds_NonXtal_Prot#'!A:AL,22,FALSE)</f>
        <v>56</v>
      </c>
      <c r="AI240" s="1">
        <f>VLOOKUP(A240,'SegEnds_NonXtal_Prot#'!A:AL,31,FALSE)-VLOOKUP(A240,'SegEnds_NonXtal_Prot#'!A:AL,28,FALSE)</f>
        <v>44</v>
      </c>
      <c r="AJ240" s="1">
        <f>VLOOKUP(A240,'SegEnds_NonXtal_Prot#'!A:AL,34,FALSE)-VLOOKUP(A240,'SegEnds_NonXtal_Prot#'!A:AL,31,FALSE)</f>
        <v>40</v>
      </c>
      <c r="AK240" s="1">
        <f>VLOOKUP(A240,'SegEnds_NonXtal_Prot#'!A:AL,37,FALSE)-VLOOKUP(A240,'SegEnds_NonXtal_Prot#'!A:AL,34,FALSE)</f>
        <v>11</v>
      </c>
      <c r="AL240" s="1" t="str">
        <f>IF(ISERROR(MATCH(A240,'SegEnds_Xtal_Prot#'!B:B, 0)), "NoXtal", "Xtal")</f>
        <v>NoXtal</v>
      </c>
    </row>
    <row r="241" spans="1:38" x14ac:dyDescent="0.2">
      <c r="A241" s="1" t="s">
        <v>236</v>
      </c>
      <c r="B241" s="1" t="str">
        <f>VLOOKUP(A241,Xtal_Templ!A:B,2,FALSE)</f>
        <v>fpr2_human</v>
      </c>
      <c r="C241" s="5">
        <f>VLOOKUP($B241&amp;"__wt",'SegEnds_Xtal_BW#'!$A:$Z,3,FALSE)</f>
        <v>25</v>
      </c>
      <c r="D241" s="1">
        <f>VLOOKUP($B241&amp;"__wt",'SegEnds_Xtal_BW#'!$A:$Z,4,FALSE)</f>
        <v>61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23</v>
      </c>
      <c r="T241" s="1">
        <f t="array" ref="T241">INDEX(ICL3_classA!$G$2:$G$39,MATCH(MIN(ABS(AI241-ICL3_classA!$F$2:$F$39)),ABS(AI241-ICL3_classA!$F$2:$F$39),0))</f>
        <v>68</v>
      </c>
      <c r="U241" s="1">
        <f t="array" ref="U241">INDEX(ICL3_classA!$H$2:$H$39,MATCH(MIN(ABS(AI241-ICL3_classA!$F$2:$F$39)),ABS(AI241-ICL3_classA!$F$2:$F$39),0))</f>
        <v>30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40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257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INDEX(ICL3_classA!$G$2:$G$39,MATCH(MIN(ABS(AI242-ICL3_classA!$F$2:$F$39)),ABS(AI242-ICL3_classA!$F$2:$F$39),0))</f>
        <v>68</v>
      </c>
      <c r="U242" s="1">
        <f t="array" ref="U242">INDEX(ICL3_classA!$H$2:$H$39,MATCH(MIN(ABS(AI242-ICL3_classA!$F$2:$F$39)),ABS(AI242-ICL3_classA!$F$2:$F$39),0))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29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56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33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316</v>
      </c>
      <c r="B243" s="1" t="str">
        <f>VLOOKUP(A243,Xtal_Templ!A:B,2,FALSE)</f>
        <v>ednrb_human</v>
      </c>
      <c r="C243" s="5">
        <f>VLOOKUP($B243&amp;"__wt",'SegEnds_Xtal_BW#'!$A:$Z,3,FALSE)</f>
        <v>22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52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28</v>
      </c>
      <c r="T243" s="1">
        <f t="array" ref="T243">INDEX(ICL3_classA!$G$2:$G$39,MATCH(MIN(ABS(AI243-ICL3_classA!$F$2:$F$39)),ABS(AI243-ICL3_classA!$F$2:$F$39),0))</f>
        <v>73</v>
      </c>
      <c r="U243" s="1">
        <f t="array" ref="U243">INDEX(ICL3_classA!$H$2:$H$39,MATCH(MIN(ABS(AI243-ICL3_classA!$F$2:$F$39)),ABS(AI243-ICL3_classA!$F$2:$F$39),0))</f>
        <v>22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56</v>
      </c>
      <c r="AI243" s="1">
        <f>VLOOKUP(A243,'SegEnds_NonXtal_Prot#'!A:AL,31,FALSE)-VLOOKUP(A243,'SegEnds_NonXtal_Prot#'!A:AL,28,FALSE)</f>
        <v>57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356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INDEX(ICL3_classA!$G$2:$G$39,MATCH(MIN(ABS(AI244-ICL3_classA!$F$2:$F$39)),ABS(AI244-ICL3_classA!$F$2:$F$39),0))</f>
        <v>68</v>
      </c>
      <c r="U244" s="1">
        <f t="array" ref="U244">INDEX(ICL3_classA!$H$2:$H$39,MATCH(MIN(ABS(AI244-ICL3_classA!$F$2:$F$39)),ABS(AI244-ICL3_classA!$F$2:$F$39),0))</f>
        <v>30</v>
      </c>
      <c r="V244" s="1">
        <v>62</v>
      </c>
      <c r="W244" s="131">
        <f>VLOOKUP($B244&amp;"__wt",'SegEnds_Xtal_BW#'!$A:$Z,23,FALSE)</f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22</v>
      </c>
      <c r="AH244" s="1">
        <f>VLOOKUP(A244,'SegEnds_NonXtal_Prot#'!A:AL,28,FALSE)-VLOOKUP(A244,'SegEnds_NonXtal_Prot#'!A:AL,22,FALSE)</f>
        <v>56</v>
      </c>
      <c r="AI244" s="1">
        <f>VLOOKUP(A244,'SegEnds_NonXtal_Prot#'!A:AL,31,FALSE)-VLOOKUP(A244,'SegEnds_NonXtal_Prot#'!A:AL,28,FALSE)</f>
        <v>42</v>
      </c>
      <c r="AJ244" s="1">
        <f>VLOOKUP(A244,'SegEnds_NonXtal_Prot#'!A:AL,34,FALSE)-VLOOKUP(A244,'SegEnds_NonXtal_Prot#'!A:AL,31,FALSE)</f>
        <v>39</v>
      </c>
      <c r="AK244" s="1" t="e">
        <f>VLOOKUP(A244,'SegEnds_NonXtal_Prot#'!A:AL,37,FALSE)-VLOOKUP(A244,'SegEnds_NonXtal_Prot#'!A:AL,34,FALSE)</f>
        <v>#VALUE!</v>
      </c>
      <c r="AL244" s="1" t="str">
        <f>IF(ISERROR(MATCH(A244,'SegEnds_Xtal_Prot#'!B:B, 0)), "NoXtal", "Xtal")</f>
        <v>NoXtal</v>
      </c>
    </row>
    <row r="245" spans="1:38" x14ac:dyDescent="0.2">
      <c r="A245" s="1" t="s">
        <v>369</v>
      </c>
      <c r="B245" s="1" t="str">
        <f>VLOOKUP(A245,Xtal_Templ!A:B,2,FALSE)</f>
        <v>ptafr_human</v>
      </c>
      <c r="C245" s="5">
        <f>VLOOKUP($B245&amp;"__wt",'SegEnds_Xtal_BW#'!$A:$Z,3,FALSE)</f>
        <v>27</v>
      </c>
      <c r="D245" s="1">
        <f>VLOOKUP($B245&amp;"__wt",'SegEnds_Xtal_BW#'!$A:$Z,4,FALSE)</f>
        <v>61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67</v>
      </c>
      <c r="U245" s="1">
        <f t="array" ref="U245">INDEX(ICL3_classA!$H$2:$H$39,MATCH(MIN(ABS(AI245-ICL3_classA!$F$2:$F$39)),ABS(AI245-ICL3_classA!$F$2:$F$39),0))</f>
        <v>26</v>
      </c>
      <c r="V245" s="1">
        <v>64</v>
      </c>
      <c r="W245" s="1">
        <v>24</v>
      </c>
      <c r="X245" s="1">
        <f>VLOOKUP($B245&amp;"__wt",'SegEnds_Xtal_BW#'!$A:$Z,24,FALSE)</f>
        <v>59</v>
      </c>
      <c r="Y245" s="1">
        <f>VLOOKUP($B245&amp;"__wt",'SegEnds_Xtal_BW#'!$A:$Z,25,FALSE)</f>
        <v>50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46</v>
      </c>
      <c r="AJ245" s="1">
        <f>VLOOKUP(A245,'SegEnds_NonXtal_Prot#'!A:AL,34,FALSE)-VLOOKUP(A245,'SegEnds_NonXtal_Prot#'!A:AL,31,FALSE)</f>
        <v>46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370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08">
        <v>36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68</v>
      </c>
      <c r="U246" s="1">
        <f t="array" ref="U246">INDEX(ICL3_classA!$H$2:$H$39,MATCH(MIN(ABS(AI246-ICL3_classA!$F$2:$F$39)),ABS(AI246-ICL3_classA!$F$2:$F$39),0))</f>
        <v>24</v>
      </c>
      <c r="V246" s="108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30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56</v>
      </c>
      <c r="AI246" s="1">
        <f>VLOOKUP(A246,'SegEnds_NonXtal_Prot#'!A:AL,31,FALSE)-VLOOKUP(A246,'SegEnds_NonXtal_Prot#'!A:AL,28,FALSE)</f>
        <v>49</v>
      </c>
      <c r="AJ246" s="1">
        <f>VLOOKUP(A246,'SegEnds_NonXtal_Prot#'!A:AL,34,FALSE)-VLOOKUP(A246,'SegEnds_NonXtal_Prot#'!A:AL,31,FALSE)</f>
        <v>43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371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74</v>
      </c>
      <c r="U247" s="1">
        <f t="array" ref="U247">INDEX(ICL3_classA!$H$2:$H$39,MATCH(MIN(ABS(AI247-ICL3_classA!$F$2:$F$39)),ABS(AI247-ICL3_classA!$F$2:$F$39),0))</f>
        <v>21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56</v>
      </c>
      <c r="AI247" s="1">
        <f>VLOOKUP(A247,'SegEnds_NonXtal_Prot#'!A:AL,31,FALSE)-VLOOKUP(A247,'SegEnds_NonXtal_Prot#'!A:AL,28,FALSE)</f>
        <v>62</v>
      </c>
      <c r="AJ247" s="1">
        <f>VLOOKUP(A247,'SegEnds_NonXtal_Prot#'!A:AL,34,FALSE)-VLOOKUP(A247,'SegEnds_NonXtal_Prot#'!A:AL,31,FALSE)</f>
        <v>41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163</v>
      </c>
      <c r="B248" s="1" t="str">
        <f>VLOOKUP(A248,Xtal_Templ!A:B,2,FALSE)</f>
        <v>ednrb_human</v>
      </c>
      <c r="C248" s="5">
        <f>VLOOKUP($B248&amp;"__wt",'SegEnds_Xtal_BW#'!$A:$Z,3,FALSE)</f>
        <v>22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52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28</v>
      </c>
      <c r="T248" s="1">
        <f t="array" ref="T248">INDEX(ICL3_classA!$G$2:$G$39,MATCH(MIN(ABS(AI248-ICL3_classA!$F$2:$F$39)),ABS(AI248-ICL3_classA!$F$2:$F$39),0))</f>
        <v>73</v>
      </c>
      <c r="U248" s="1">
        <f t="array" ref="U248">INDEX(ICL3_classA!$H$2:$H$39,MATCH(MIN(ABS(AI248-ICL3_classA!$F$2:$F$39)),ABS(AI248-ICL3_classA!$F$2:$F$39),0))</f>
        <v>22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57</v>
      </c>
      <c r="AI248" s="1">
        <f>VLOOKUP(A248,'SegEnds_NonXtal_Prot#'!A:AL,31,FALSE)-VLOOKUP(A248,'SegEnds_NonXtal_Prot#'!A:AL,28,FALSE)</f>
        <v>57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195</v>
      </c>
      <c r="B249" s="1" t="str">
        <f>VLOOKUP(A249,Xtal_Templ!A:B,2,FALSE)</f>
        <v>ednrb_human</v>
      </c>
      <c r="C249" s="5">
        <f>VLOOKUP($B249&amp;"__wt",'SegEnds_Xtal_BW#'!$A:$Z,3,FALSE)</f>
        <v>22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38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9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INDEX(ICL3_classA!$G$2:$G$39,MATCH(MIN(ABS(AI249-ICL3_classA!$F$2:$F$39)),ABS(AI249-ICL3_classA!$F$2:$F$39),0))</f>
        <v>72</v>
      </c>
      <c r="U249" s="1">
        <f t="array" ref="U249">INDEX(ICL3_classA!$H$2:$H$39,MATCH(MIN(ABS(AI249-ICL3_classA!$F$2:$F$39)),ABS(AI249-ICL3_classA!$F$2:$F$39),0))</f>
        <v>24</v>
      </c>
      <c r="V249" s="1">
        <v>62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57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57</v>
      </c>
      <c r="AI249" s="1">
        <f>VLOOKUP(A249,'SegEnds_NonXtal_Prot#'!A:AL,31,FALSE)-VLOOKUP(A249,'SegEnds_NonXtal_Prot#'!A:AL,28,FALSE)</f>
        <v>54</v>
      </c>
      <c r="AJ249" s="1">
        <f>VLOOKUP(A249,'SegEnds_NonXtal_Prot#'!A:AL,34,FALSE)-VLOOKUP(A249,'SegEnds_NonXtal_Prot#'!A:AL,31,FALSE)</f>
        <v>45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197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INDEX(ICL3_classA!$G$2:$G$39,MATCH(MIN(ABS(AI250-ICL3_classA!$F$2:$F$39)),ABS(AI250-ICL3_classA!$F$2:$F$39),0))</f>
        <v>67</v>
      </c>
      <c r="U250" s="1">
        <f t="array" ref="U250">INDEX(ICL3_classA!$H$2:$H$39,MATCH(MIN(ABS(AI250-ICL3_classA!$F$2:$F$39)),ABS(AI250-ICL3_classA!$F$2:$F$39),0))</f>
        <v>26</v>
      </c>
      <c r="V250" s="1">
        <v>61</v>
      </c>
      <c r="W250" s="1">
        <v>33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27</v>
      </c>
      <c r="AH250" s="1">
        <f>VLOOKUP(A250,'SegEnds_NonXtal_Prot#'!A:AL,28,FALSE)-VLOOKUP(A250,'SegEnds_NonXtal_Prot#'!A:AL,22,FALSE)</f>
        <v>57</v>
      </c>
      <c r="AI250" s="1">
        <f>VLOOKUP(A250,'SegEnds_NonXtal_Prot#'!A:AL,31,FALSE)-VLOOKUP(A250,'SegEnds_NonXtal_Prot#'!A:AL,28,FALSE)</f>
        <v>46</v>
      </c>
      <c r="AJ250" s="1">
        <f>VLOOKUP(A250,'SegEnds_NonXtal_Prot#'!A:AL,34,FALSE)-VLOOKUP(A250,'SegEnds_NonXtal_Prot#'!A:AL,31,FALSE)</f>
        <v>33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268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INDEX(ICL3_classA!$G$2:$G$39,MATCH(MIN(ABS(AI251-ICL3_classA!$F$2:$F$39)),ABS(AI251-ICL3_classA!$F$2:$F$39),0))</f>
        <v>73</v>
      </c>
      <c r="U251" s="1">
        <f t="array" ref="U251">INDEX(ICL3_classA!$H$2:$H$39,MATCH(MIN(ABS(AI251-ICL3_classA!$F$2:$F$39)),ABS(AI251-ICL3_classA!$F$2:$F$39),0))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63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 t="e">
        <f>VLOOKUP(A251,'SegEnds_NonXtal_Prot#'!A:AL,22,FALSE)-VLOOKUP(A251,'SegEnds_NonXtal_Prot#'!A:AL,19,FALSE)</f>
        <v>#VALUE!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57</v>
      </c>
      <c r="AI251" s="1">
        <f>VLOOKUP(A251,'SegEnds_NonXtal_Prot#'!A:AL,31,FALSE)-VLOOKUP(A251,'SegEnds_NonXtal_Prot#'!A:AL,28,FALSE)</f>
        <v>56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273</v>
      </c>
      <c r="B252" s="1" t="str">
        <f>VLOOKUP(A252,Xtal_Templ!A:B,2,FALSE)</f>
        <v>ednrb_human</v>
      </c>
      <c r="C252" s="5">
        <f>VLOOKUP($B252&amp;"__wt",'SegEnds_Xtal_BW#'!$A:$Z,3,FALSE)</f>
        <v>22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52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28</v>
      </c>
      <c r="T252" s="1">
        <f t="array" ref="T252">INDEX(ICL3_classA!$G$2:$G$39,MATCH(MIN(ABS(AI252-ICL3_classA!$F$2:$F$39)),ABS(AI252-ICL3_classA!$F$2:$F$39),0))</f>
        <v>73</v>
      </c>
      <c r="U252" s="1">
        <f t="array" ref="U252">INDEX(ICL3_classA!$H$2:$H$39,MATCH(MIN(ABS(AI252-ICL3_classA!$F$2:$F$39)),ABS(AI252-ICL3_classA!$F$2:$F$39),0))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26</v>
      </c>
      <c r="AH252" s="1">
        <f>VLOOKUP(A252,'SegEnds_NonXtal_Prot#'!A:AL,28,FALSE)-VLOOKUP(A252,'SegEnds_NonXtal_Prot#'!A:AL,22,FALSE)</f>
        <v>57</v>
      </c>
      <c r="AI252" s="1">
        <f>VLOOKUP(A252,'SegEnds_NonXtal_Prot#'!A:AL,31,FALSE)-VLOOKUP(A252,'SegEnds_NonXtal_Prot#'!A:AL,28,FALSE)</f>
        <v>57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288</v>
      </c>
      <c r="B253" s="1" t="str">
        <f>VLOOKUP(A253,Xtal_Templ!A:B,2,FALSE)</f>
        <v>cltr2_human</v>
      </c>
      <c r="C253" s="5">
        <f>VLOOKUP($B253&amp;"__wt",'SegEnds_Xtal_BW#'!$A:$Z,3,FALSE)</f>
        <v>25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INDEX(ICL3_classA!$G$2:$G$39,MATCH(MIN(ABS(AI253-ICL3_classA!$F$2:$F$39)),ABS(AI253-ICL3_classA!$F$2:$F$39),0))</f>
        <v>67</v>
      </c>
      <c r="U253" s="1">
        <f t="array" ref="U253">INDEX(ICL3_classA!$H$2:$H$39,MATCH(MIN(ABS(AI253-ICL3_classA!$F$2:$F$39)),ABS(AI253-ICL3_classA!$F$2:$F$39),0))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57</v>
      </c>
      <c r="AI253" s="1">
        <f>VLOOKUP(A253,'SegEnds_NonXtal_Prot#'!A:AL,31,FALSE)-VLOOKUP(A253,'SegEnds_NonXtal_Prot#'!A:AL,28,FALSE)</f>
        <v>46</v>
      </c>
      <c r="AJ253" s="1">
        <f>VLOOKUP(A253,'SegEnds_NonXtal_Prot#'!A:AL,34,FALSE)-VLOOKUP(A253,'SegEnds_NonXtal_Prot#'!A:AL,31,FALSE)</f>
        <v>45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317</v>
      </c>
      <c r="B254" s="4" t="str">
        <f>VLOOKUP(A254,Xtal_Templ!A:B,2,FALSE)</f>
        <v>ntr1_rat</v>
      </c>
      <c r="C254" s="5">
        <f>VLOOKUP($B254&amp;"__wt",'SegEnds_Xtal_BW#'!$A:$Z,3,FALSE)</f>
        <v>29</v>
      </c>
      <c r="D254" s="4">
        <f>VLOOKUP($B254&amp;"__wt",'SegEnds_Xtal_BW#'!$A:$Z,4,FALSE)</f>
        <v>60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57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32</v>
      </c>
      <c r="T254" s="4">
        <f t="array" ref="T254">INDEX(ICL3_classA!$G$2:$G$39,MATCH(MIN(ABS(AI254-ICL3_classA!$F$2:$F$39)),ABS(AI254-ICL3_classA!$F$2:$F$39),0))</f>
        <v>76</v>
      </c>
      <c r="U254" s="4">
        <f t="array" ref="U254">INDEX(ICL3_classA!$H$2:$H$39,MATCH(MIN(ABS(AI254-ICL3_classA!$F$2:$F$39)),ABS(AI254-ICL3_classA!$F$2:$F$39),0))</f>
        <v>24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4">
        <f>VLOOKUP(A254,'SegEnds_NonXtal_Prot#'!A:AL,28,FALSE)-VLOOKUP(A254,'SegEnds_NonXtal_Prot#'!A:AL,25,FALSE)</f>
        <v>24</v>
      </c>
      <c r="AH254" s="1">
        <f>VLOOKUP(A254,'SegEnds_NonXtal_Prot#'!A:AL,28,FALSE)-VLOOKUP(A254,'SegEnds_NonXtal_Prot#'!A:AL,22,FALSE)</f>
        <v>57</v>
      </c>
      <c r="AI254" s="4">
        <f>VLOOKUP(A254,'SegEnds_NonXtal_Prot#'!A:AL,31,FALSE)-VLOOKUP(A254,'SegEnds_NonXtal_Prot#'!A:AL,28,FALSE)</f>
        <v>69</v>
      </c>
      <c r="AJ254" s="4">
        <f>VLOOKUP(A254,'SegEnds_NonXtal_Prot#'!A:AL,34,FALSE)-VLOOKUP(A254,'SegEnds_NonXtal_Prot#'!A:AL,31,FALSE)</f>
        <v>41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318</v>
      </c>
      <c r="B255" s="1" t="str">
        <f>VLOOKUP(A255,Xtal_Templ!A:B,2,FALSE)</f>
        <v>ntr1_rat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INDEX(ICL3_classA!$G$2:$G$39,MATCH(MIN(ABS(AI255-ICL3_classA!$F$2:$F$39)),ABS(AI255-ICL3_classA!$F$2:$F$39),0))</f>
        <v>73</v>
      </c>
      <c r="U255" s="1">
        <f t="array" ref="U255">INDEX(ICL3_classA!$H$2:$H$39,MATCH(MIN(ABS(AI255-ICL3_classA!$F$2:$F$39)),ABS(AI255-ICL3_classA!$F$2:$F$39),0))</f>
        <v>22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62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24</v>
      </c>
      <c r="AH255" s="1">
        <f>VLOOKUP(A255,'SegEnds_NonXtal_Prot#'!A:AL,28,FALSE)-VLOOKUP(A255,'SegEnds_NonXtal_Prot#'!A:AL,22,FALSE)</f>
        <v>57</v>
      </c>
      <c r="AI255" s="1">
        <f>VLOOKUP(A255,'SegEnds_NonXtal_Prot#'!A:AL,31,FALSE)-VLOOKUP(A255,'SegEnds_NonXtal_Prot#'!A:AL,28,FALSE)</f>
        <v>55</v>
      </c>
      <c r="AJ255" s="1">
        <f>VLOOKUP(A255,'SegEnds_NonXtal_Prot#'!A:AL,34,FALSE)-VLOOKUP(A255,'SegEnds_NonXtal_Prot#'!A:AL,31,FALSE)</f>
        <v>41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348</v>
      </c>
      <c r="B256" s="1" t="str">
        <f>VLOOKUP(A256,Xtal_Templ!A:B,2,FALSE)</f>
        <v>par2_human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47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62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INDEX(ICL3_classA!$G$2:$G$39,MATCH(MIN(ABS(AI256-ICL3_classA!$F$2:$F$39)),ABS(AI256-ICL3_classA!$F$2:$F$39),0))</f>
        <v>67</v>
      </c>
      <c r="U256" s="1">
        <f t="array" ref="U256">INDEX(ICL3_classA!$H$2:$H$39,MATCH(MIN(ABS(AI256-ICL3_classA!$F$2:$F$39)),ABS(AI256-ICL3_classA!$F$2:$F$39),0))</f>
        <v>26</v>
      </c>
      <c r="V256" s="1">
        <v>61</v>
      </c>
      <c r="W256" s="131">
        <f>VLOOKUP($B256&amp;"__wt",'SegEnds_Xtal_BW#'!$A:$Z,23,FALSE)</f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30</v>
      </c>
      <c r="AH256" s="1">
        <f>VLOOKUP(A256,'SegEnds_NonXtal_Prot#'!A:AL,28,FALSE)-VLOOKUP(A256,'SegEnds_NonXtal_Prot#'!A:AL,22,FALSE)</f>
        <v>57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38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366</v>
      </c>
      <c r="B257" s="1" t="str">
        <f>VLOOKUP(A257,Xtal_Templ!A:B,2,FALSE)</f>
        <v>npy1r_human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 t="str">
        <f>VLOOKUP($B257&amp;"__wt",'SegEnds_Xtal_BW#'!$A:$Z,13,FALSE)</f>
        <v>-</v>
      </c>
      <c r="N257" s="108" t="s">
        <v>23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INDEX(ICL3_classA!$G$2:$G$39,MATCH(MIN(ABS(AI257-ICL3_classA!$F$2:$F$39)),ABS(AI257-ICL3_classA!$F$2:$F$39),0))</f>
        <v>73</v>
      </c>
      <c r="U257" s="1">
        <f t="array" ref="U257">INDEX(ICL3_classA!$H$2:$H$39,MATCH(MIN(ABS(AI257-ICL3_classA!$F$2:$F$39)),ABS(AI257-ICL3_classA!$F$2:$F$39),0))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22</v>
      </c>
      <c r="AE257" s="1">
        <f>VLOOKUP(A257,'SegEnds_NonXtal_Prot#'!A:AL,16,FALSE)-VLOOKUP(A257,'SegEnds_NonXtal_Prot#'!A:AL,10,FALSE)</f>
        <v>54</v>
      </c>
      <c r="AF257" s="1" t="e">
        <f>VLOOKUP(A257,'SegEnds_NonXtal_Prot#'!A:AL,22,FALSE)-VLOOKUP(A257,'SegEnds_NonXtal_Prot#'!A:AL,19,FALSE)</f>
        <v>#VALUE!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57</v>
      </c>
      <c r="AI257" s="1">
        <f>VLOOKUP(A257,'SegEnds_NonXtal_Prot#'!A:AL,31,FALSE)-VLOOKUP(A257,'SegEnds_NonXtal_Prot#'!A:AL,28,FALSE)</f>
        <v>55</v>
      </c>
      <c r="AJ257" s="1">
        <f>VLOOKUP(A257,'SegEnds_NonXtal_Prot#'!A:AL,34,FALSE)-VLOOKUP(A257,'SegEnds_NonXtal_Prot#'!A:AL,31,FALSE)</f>
        <v>40</v>
      </c>
      <c r="AK257" s="1">
        <f>VLOOKUP(A257,'SegEnds_NonXtal_Prot#'!A:AL,37,FALSE)-VLOOKUP(A257,'SegEnds_NonXtal_Prot#'!A:AL,34,FALSE)</f>
        <v>11</v>
      </c>
      <c r="AL257" s="1" t="str">
        <f>IF(ISERROR(MATCH(A257,'SegEnds_Xtal_Prot#'!B:B, 0)), "NoXtal", "Xtal")</f>
        <v>NoXtal</v>
      </c>
    </row>
    <row r="258" spans="1:38" x14ac:dyDescent="0.2">
      <c r="A258" s="1" t="s">
        <v>367</v>
      </c>
      <c r="B258" s="1" t="str">
        <f>VLOOKUP(A258,Xtal_Templ!A:B,2,FALSE)</f>
        <v>npy1r_human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 t="str">
        <f>VLOOKUP($B258&amp;"__wt",'SegEnds_Xtal_BW#'!$A:$Z,13,FALSE)</f>
        <v>-</v>
      </c>
      <c r="N258" s="108" t="s">
        <v>23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INDEX(ICL3_classA!$G$2:$G$39,MATCH(MIN(ABS(AI258-ICL3_classA!$F$2:$F$39)),ABS(AI258-ICL3_classA!$F$2:$F$39),0))</f>
        <v>73</v>
      </c>
      <c r="U258" s="1">
        <f t="array" ref="U258">INDEX(ICL3_classA!$H$2:$H$39,MATCH(MIN(ABS(AI258-ICL3_classA!$F$2:$F$39)),ABS(AI258-ICL3_classA!$F$2:$F$39),0))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22</v>
      </c>
      <c r="AE258" s="1">
        <f>VLOOKUP(A258,'SegEnds_NonXtal_Prot#'!A:AL,16,FALSE)-VLOOKUP(A258,'SegEnds_NonXtal_Prot#'!A:AL,10,FALSE)</f>
        <v>54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372</v>
      </c>
      <c r="B259" s="1" t="str">
        <f>VLOOKUP(A259,Xtal_Templ!A:B,2,FALSE)</f>
        <v>agtr1_human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58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34</v>
      </c>
      <c r="T259" s="1">
        <f t="array" ref="T259">INDEX(ICL3_classA!$G$2:$G$39,MATCH(MIN(ABS(AI259-ICL3_classA!$F$2:$F$39)),ABS(AI259-ICL3_classA!$F$2:$F$39),0))</f>
        <v>74</v>
      </c>
      <c r="U259" s="1">
        <f t="array" ref="U259">INDEX(ICL3_classA!$H$2:$H$39,MATCH(MIN(ABS(AI259-ICL3_classA!$F$2:$F$39)),ABS(AI259-ICL3_classA!$F$2:$F$39),0))</f>
        <v>21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>
        <f>VLOOKUP(A259,'SegEnds_NonXtal_Prot#'!A:AL,10,FALSE)-VLOOKUP(A259,'SegEnds_NonXtal_Prot#'!A:AL,7,FALSE)</f>
        <v>16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32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62</v>
      </c>
      <c r="AJ259" s="1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134</v>
      </c>
      <c r="B260" s="1" t="str">
        <f>VLOOKUP(A260,Xtal_Templ!A:B,2,FALSE)</f>
        <v>adrb2_human</v>
      </c>
      <c r="C260" s="5">
        <f>VLOOKUP($B260&amp;"__wt",'SegEnds_Xtal_BW#'!$A:$Z,3,FALSE)</f>
        <v>25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25"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1">
        <f>VLOOKUP(A260,'SegEnds_NonXtal_Prot#'!A:AL,10,FALSE)-VLOOKUP(A260,'SegEnds_NonXtal_Prot#'!A:AL,7,FALSE)</f>
        <v>16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20</v>
      </c>
      <c r="AH260" s="1">
        <f>VLOOKUP(A260,'SegEnds_NonXtal_Prot#'!A:AL,28,FALSE)-VLOOKUP(A260,'SegEnds_NonXtal_Prot#'!A:AL,22,FALSE)</f>
        <v>58</v>
      </c>
      <c r="AI260" s="1">
        <f>VLOOKUP(A260,'SegEnds_NonXtal_Prot#'!A:AL,31,FALSE)-VLOOKUP(A260,'SegEnds_NonXtal_Prot#'!A:AL,28,FALSE)</f>
        <v>70</v>
      </c>
      <c r="AJ260" s="1">
        <f>VLOOKUP(A260,'SegEnds_NonXtal_Prot#'!A:AL,34,FALSE)-VLOOKUP(A260,'SegEnds_NonXtal_Prot#'!A:AL,31,FALSE)</f>
        <v>35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190</v>
      </c>
      <c r="B261" s="1" t="str">
        <f>VLOOKUP(A261,Xtal_Templ!A:B,2,FALSE)</f>
        <v>adrb2_human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INDEX(ICL3_classA!$G$2:$G$39,MATCH(MIN(ABS(AI261-ICL3_classA!$F$2:$F$39)),ABS(AI261-ICL3_classA!$F$2:$F$39),0))</f>
        <v>76</v>
      </c>
      <c r="U261" s="1">
        <f t="array" ref="U261">INDEX(ICL3_classA!$H$2:$H$39,MATCH(MIN(ABS(AI261-ICL3_classA!$F$2:$F$39)),ABS(AI261-ICL3_classA!$F$2:$F$39),0))</f>
        <v>24</v>
      </c>
      <c r="V261" s="1">
        <v>61</v>
      </c>
      <c r="W261" s="1">
        <v>28</v>
      </c>
      <c r="X261" s="1">
        <f>VLOOKUP($B261&amp;"__wt",'SegEnds_Xtal_BW#'!$A:$Z,24,FALSE)</f>
        <v>55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20</v>
      </c>
      <c r="AH261" s="1">
        <f>VLOOKUP(A261,'SegEnds_NonXtal_Prot#'!A:AL,28,FALSE)-VLOOKUP(A261,'SegEnds_NonXtal_Prot#'!A:AL,22,FALSE)</f>
        <v>58</v>
      </c>
      <c r="AI261" s="1">
        <f>VLOOKUP(A261,'SegEnds_NonXtal_Prot#'!A:AL,31,FALSE)-VLOOKUP(A261,'SegEnds_NonXtal_Prot#'!A:AL,28,FALSE)</f>
        <v>81</v>
      </c>
      <c r="AJ261" s="1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244</v>
      </c>
      <c r="B262" s="1" t="str">
        <f>VLOOKUP(A262,Xtal_Templ!A:B,2,FALSE)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INDEX(ICL3_classA!$G$2:$G$39,MATCH(MIN(ABS(AI262-ICL3_classA!$F$2:$F$39)),ABS(AI262-ICL3_classA!$F$2:$F$39),0))</f>
        <v>74</v>
      </c>
      <c r="U262" s="1">
        <f t="array" ref="U262">INDEX(ICL3_classA!$H$2:$H$39,MATCH(MIN(ABS(AI262-ICL3_classA!$F$2:$F$39)),ABS(AI262-ICL3_classA!$F$2:$F$39),0))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325</v>
      </c>
      <c r="B263" s="1" t="str">
        <f>VLOOKUP(A263,Xtal_Templ!A:B,2,FALSE)</f>
        <v>ox1r_human</v>
      </c>
      <c r="C263" s="5">
        <f>VLOOKUP($B263&amp;"__wt",'SegEnds_Xtal_BW#'!$A:$Z,3,FALSE)</f>
        <v>32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INDEX(ICL3_classA!$G$2:$G$39,MATCH(MIN(ABS(AI263-ICL3_classA!$F$2:$F$39)),ABS(AI263-ICL3_classA!$F$2:$F$39),0))</f>
        <v>72</v>
      </c>
      <c r="U263" s="1">
        <f t="array" ref="U263">INDEX(ICL3_classA!$H$2:$H$39,MATCH(MIN(ABS(AI263-ICL3_classA!$F$2:$F$39)),ABS(AI263-ICL3_classA!$F$2:$F$39),0))</f>
        <v>23</v>
      </c>
      <c r="V263" s="1">
        <v>61</v>
      </c>
      <c r="W263" s="131">
        <f>VLOOKUP($B263&amp;"__wt",'SegEnds_Xtal_BW#'!$A:$Z,23,FALSE)</f>
        <v>27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63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39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329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62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22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24</v>
      </c>
      <c r="AH264" s="1">
        <f>VLOOKUP(A264,'SegEnds_NonXtal_Prot#'!A:AL,28,FALSE)-VLOOKUP(A264,'SegEnds_NonXtal_Prot#'!A:AL,22,FALSE)</f>
        <v>58</v>
      </c>
      <c r="AI264" s="1">
        <f>VLOOKUP(A264,'SegEnds_NonXtal_Prot#'!A:AL,31,FALSE)-VLOOKUP(A264,'SegEnds_NonXtal_Prot#'!A:AL,28,FALSE)</f>
        <v>94</v>
      </c>
      <c r="AJ264" s="1">
        <f>VLOOKUP(A264,'SegEnds_NonXtal_Prot#'!A:AL,34,FALSE)-VLOOKUP(A264,'SegEnds_NonXtal_Prot#'!A:AL,31,FALSE)</f>
        <v>43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1168</v>
      </c>
      <c r="B265" s="1" t="str">
        <f>VLOOKUP(A265,Xtal_Templ!A:B,2,FALSE)</f>
        <v>ox1r_human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INDEX(ICL3_classA!$G$2:$G$39,MATCH(MIN(ABS(AI265-ICL3_classA!$F$2:$F$39)),ABS(AI265-ICL3_classA!$F$2:$F$39),0))</f>
        <v>76</v>
      </c>
      <c r="U265" s="1">
        <v>20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18</v>
      </c>
      <c r="AG265" s="1">
        <f>VLOOKUP(A265,'SegEnds_NonXtal_Prot#'!A:AL,28,FALSE)-VLOOKUP(A265,'SegEnds_NonXtal_Prot#'!A:AL,25,FALSE)</f>
        <v>25</v>
      </c>
      <c r="AH265" s="1">
        <f>VLOOKUP(A265,'SegEnds_NonXtal_Prot#'!A:AL,28,FALSE)-VLOOKUP(A265,'SegEnds_NonXtal_Prot#'!A:AL,22,FALSE)</f>
        <v>58</v>
      </c>
      <c r="AI265" s="12">
        <f>VLOOKUP(A265,'SegEnds_NonXtal_Prot#'!A:AL,31,FALSE)-VLOOKUP(A265,'SegEnds_NonXtal_Prot#'!A:AL,28,FALSE)</f>
        <v>86</v>
      </c>
      <c r="AJ265" s="1">
        <f>VLOOKUP(A265,'SegEnds_NonXtal_Prot#'!A:AL,34,FALSE)-VLOOKUP(A265,'SegEnds_NonXtal_Prot#'!A:AL,31,FALSE)</f>
        <v>42</v>
      </c>
      <c r="AK265" s="1">
        <f>VLOOKUP(A265,'SegEnds_NonXtal_Prot#'!A:AL,37,FALSE)-VLOOKUP(A265,'SegEnds_NonXtal_Prot#'!A:AL,34,FALSE)</f>
        <v>10</v>
      </c>
      <c r="AL265" s="12" t="str">
        <f>IF(ISERROR(MATCH(A265,'SegEnds_Xtal_Prot#'!B:B, 0)), "NoXtal", "Xtal")</f>
        <v>Xtal</v>
      </c>
    </row>
    <row r="266" spans="1:38" x14ac:dyDescent="0.2">
      <c r="A266" s="1" t="s">
        <v>1169</v>
      </c>
      <c r="B266" s="1" t="str">
        <f>VLOOKUP(A266,Xtal_Templ!A:B,2,FALSE)</f>
        <v>ox2r_human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76</v>
      </c>
      <c r="U266" s="1">
        <v>20</v>
      </c>
      <c r="V266" s="1">
        <v>61</v>
      </c>
      <c r="W266" s="108">
        <v>27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18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58</v>
      </c>
      <c r="AI266" s="12">
        <f>VLOOKUP(A266,'SegEnds_NonXtal_Prot#'!A:AL,31,FALSE)-VLOOKUP(A266,'SegEnds_NonXtal_Prot#'!A:AL,28,FALSE)</f>
        <v>84</v>
      </c>
      <c r="AJ266" s="1">
        <f>VLOOKUP(A266,'SegEnds_NonXtal_Prot#'!A:AL,34,FALSE)-VLOOKUP(A266,'SegEnds_NonXtal_Prot#'!A:AL,31,FALSE)</f>
        <v>42</v>
      </c>
      <c r="AK266" s="1">
        <f>VLOOKUP(A266,'SegEnds_NonXtal_Prot#'!A:AL,37,FALSE)-VLOOKUP(A266,'SegEnds_NonXtal_Prot#'!A:AL,34,FALSE)</f>
        <v>10</v>
      </c>
      <c r="AL266" s="12" t="str">
        <f>IF(ISERROR(MATCH(A266,'SegEnds_Xtal_Prot#'!B:B, 0)), "NoXtal", "Xtal")</f>
        <v>Xtal</v>
      </c>
    </row>
    <row r="267" spans="1:38" x14ac:dyDescent="0.2">
      <c r="A267" s="1" t="s">
        <v>160</v>
      </c>
      <c r="B267" s="1" t="str">
        <f>VLOOKUP(A267,Xtal_Templ!A:B,2,FALSE)</f>
        <v>apj_human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30</v>
      </c>
      <c r="T267" s="1">
        <f t="array" ref="T267">INDEX(ICL3_classA!$G$2:$G$39,MATCH(MIN(ABS(AI267-ICL3_classA!$F$2:$F$39)),ABS(AI267-ICL3_classA!$F$2:$F$39),0))</f>
        <v>72</v>
      </c>
      <c r="U267" s="1">
        <f t="array" ref="U267">INDEX(ICL3_classA!$H$2:$H$39,MATCH(MIN(ABS(AI267-ICL3_classA!$F$2:$F$39)),ABS(AI267-ICL3_classA!$F$2:$F$39),0))</f>
        <v>29</v>
      </c>
      <c r="V267" s="108">
        <v>63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32</v>
      </c>
      <c r="AH267" s="1">
        <f>VLOOKUP(A267,'SegEnds_NonXtal_Prot#'!A:AL,28,FALSE)-VLOOKUP(A267,'SegEnds_NonXtal_Prot#'!A:AL,22,FALSE)</f>
        <v>59</v>
      </c>
      <c r="AI267" s="1">
        <f>VLOOKUP(A267,'SegEnds_NonXtal_Prot#'!A:AL,31,FALSE)-VLOOKUP(A267,'SegEnds_NonXtal_Prot#'!A:AL,28,FALSE)</f>
        <v>50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Xtal</v>
      </c>
    </row>
    <row r="268" spans="1:38" x14ac:dyDescent="0.2">
      <c r="A268" s="1" t="s">
        <v>196</v>
      </c>
      <c r="B268" s="1" t="str">
        <f>VLOOKUP(A268,Xtal_Templ!A:B,2,FALSE)</f>
        <v>ednrb_human</v>
      </c>
      <c r="C268" s="5">
        <f>VLOOKUP($B268&amp;"__wt",'SegEnds_Xtal_BW#'!$A:$Z,3,FALSE)</f>
        <v>22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52</v>
      </c>
      <c r="G268" s="1">
        <v>38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28</v>
      </c>
      <c r="T268" s="1">
        <f t="array" ref="T268">INDEX(ICL3_classA!$G$2:$G$39,MATCH(MIN(ABS(AI268-ICL3_classA!$F$2:$F$39)),ABS(AI268-ICL3_classA!$F$2:$F$39),0))</f>
        <v>72</v>
      </c>
      <c r="U268" s="1">
        <f t="array" ref="U268">INDEX(ICL3_classA!$H$2:$H$39,MATCH(MIN(ABS(AI268-ICL3_classA!$F$2:$F$39)),ABS(AI268-ICL3_classA!$F$2:$F$39),0))</f>
        <v>24</v>
      </c>
      <c r="V268" s="1">
        <v>62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30</v>
      </c>
      <c r="AH268" s="1">
        <f>VLOOKUP(A268,'SegEnds_NonXtal_Prot#'!A:AL,28,FALSE)-VLOOKUP(A268,'SegEnds_NonXtal_Prot#'!A:AL,22,FALSE)</f>
        <v>59</v>
      </c>
      <c r="AI268" s="1">
        <f>VLOOKUP(A268,'SegEnds_NonXtal_Prot#'!A:AL,31,FALSE)-VLOOKUP(A268,'SegEnds_NonXtal_Prot#'!A:AL,28,FALSE)</f>
        <v>53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209</v>
      </c>
      <c r="B269" s="1" t="str">
        <f>VLOOKUP(A269,Xtal_Templ!A:B,2,FALSE)</f>
        <v>apj_human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52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53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INDEX(ICL3_classA!$G$2:$G$39,MATCH(MIN(ABS(AI269-ICL3_classA!$F$2:$F$39)),ABS(AI269-ICL3_classA!$F$2:$F$39),0))</f>
        <v>74</v>
      </c>
      <c r="U269" s="1">
        <f t="array" ref="U269">INDEX(ICL3_classA!$H$2:$H$39,MATCH(MIN(ABS(AI269-ICL3_classA!$F$2:$F$39)),ABS(AI269-ICL3_classA!$F$2:$F$39),0))</f>
        <v>21</v>
      </c>
      <c r="V269" s="1">
        <v>61</v>
      </c>
      <c r="W269" s="108">
        <v>25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34</v>
      </c>
      <c r="AC269" s="1">
        <f>VLOOKUP(A269,'SegEnds_NonXtal_Prot#'!A:AL,10,FALSE)-VLOOKUP(A269,'SegEnds_NonXtal_Prot#'!A:AL,7,FALSE)</f>
        <v>14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18</v>
      </c>
      <c r="AG269" s="1">
        <f>VLOOKUP(A269,'SegEnds_NonXtal_Prot#'!A:AL,28,FALSE)-VLOOKUP(A269,'SegEnds_NonXtal_Prot#'!A:AL,25,FALSE)</f>
        <v>23</v>
      </c>
      <c r="AH269" s="1">
        <f>VLOOKUP(A269,'SegEnds_NonXtal_Prot#'!A:AL,28,FALSE)-VLOOKUP(A269,'SegEnds_NonXtal_Prot#'!A:AL,22,FALSE)</f>
        <v>59</v>
      </c>
      <c r="AI269" s="1">
        <f>VLOOKUP(A269,'SegEnds_NonXtal_Prot#'!A:AL,31,FALSE)-VLOOKUP(A269,'SegEnds_NonXtal_Prot#'!A:AL,28,FALSE)</f>
        <v>59</v>
      </c>
      <c r="AJ269" s="1">
        <f>VLOOKUP(A269,'SegEnds_NonXtal_Prot#'!A:AL,34,FALSE)-VLOOKUP(A269,'SegEnds_NonXtal_Prot#'!A:AL,31,FALSE)</f>
        <v>38</v>
      </c>
      <c r="AK269" s="1" t="e">
        <f>VLOOKUP(A269,'SegEnds_NonXtal_Prot#'!A:AL,37,FALSE)-VLOOKUP(A269,'SegEnds_NonXtal_Prot#'!A:AL,34,FALSE)</f>
        <v>#VALUE!</v>
      </c>
      <c r="AL269" s="1" t="str">
        <f>IF(ISERROR(MATCH(A269,'SegEnds_Xtal_Prot#'!B:B, 0)), "NoXtal", "Xtal")</f>
        <v>NoXtal</v>
      </c>
    </row>
    <row r="270" spans="1:38" x14ac:dyDescent="0.2">
      <c r="A270" s="1" t="s">
        <v>327</v>
      </c>
      <c r="B270" s="1" t="str">
        <f>VLOOKUP(A270,Xtal_Templ!A:B,2,FALSE)</f>
        <v>npy1r_human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 t="str">
        <f>VLOOKUP($B270&amp;"__wt",'SegEnds_Xtal_BW#'!$A:$Z,13,FALSE)</f>
        <v>-</v>
      </c>
      <c r="N270" s="108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31">
        <f>VLOOKUP($B270&amp;"__wt",'SegEnds_Xtal_BW#'!$A:$Z,23,FALSE)</f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59</v>
      </c>
      <c r="AI270" s="1">
        <f>VLOOKUP(A270,'SegEnds_NonXtal_Prot#'!A:AL,31,FALSE)-VLOOKUP(A270,'SegEnds_NonXtal_Prot#'!A:AL,28,FALSE)</f>
        <v>160</v>
      </c>
      <c r="AJ270" s="1">
        <f>VLOOKUP(A270,'SegEnds_NonXtal_Prot#'!A:AL,34,FALSE)-VLOOKUP(A270,'SegEnds_NonXtal_Prot#'!A:AL,31,FALSE)</f>
        <v>39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362</v>
      </c>
      <c r="B271" s="1" t="str">
        <f>VLOOKUP(A271,Xtal_Templ!A:B,2,FALSE)</f>
        <v>pe2r3_human</v>
      </c>
      <c r="C271" s="5">
        <f>VLOOKUP($B271&amp;"__wt",'SegEnds_Xtal_BW#'!$A:$Z,3,FALSE)</f>
        <v>36</v>
      </c>
      <c r="D271" s="1">
        <f>VLOOKUP($B271&amp;"__wt",'SegEnds_Xtal_BW#'!$A:$Z,4,FALSE)</f>
        <v>62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v>49</v>
      </c>
      <c r="J271" s="1">
        <f>VLOOKUP($B271&amp;"__wt",'SegEnds_Xtal_BW#'!$A:$Z,10,FALSE)</f>
        <v>56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34</v>
      </c>
      <c r="T271" s="1">
        <f t="array" ref="T271">INDEX(ICL3_classA!$G$2:$G$39,MATCH(MIN(ABS(AI271-ICL3_classA!$F$2:$F$39)),ABS(AI271-ICL3_classA!$F$2:$F$39),0))</f>
        <v>73</v>
      </c>
      <c r="U271" s="1">
        <f t="array" ref="U271">INDEX(ICL3_classA!$H$2:$H$39,MATCH(MIN(ABS(AI271-ICL3_classA!$F$2:$F$39)),ABS(AI271-ICL3_classA!$F$2:$F$39),0))</f>
        <v>22</v>
      </c>
      <c r="V271" s="1">
        <v>64</v>
      </c>
      <c r="W271" s="1">
        <v>24</v>
      </c>
      <c r="X271" s="1">
        <f>VLOOKUP($B271&amp;"__wt",'SegEnds_Xtal_BW#'!$A:$Z,24,FALSE)</f>
        <v>53</v>
      </c>
      <c r="Y271" s="1">
        <f>VLOOKUP($B271&amp;"__wt",'SegEnds_Xtal_BW#'!$A:$Z,25,FALSE)</f>
        <v>44</v>
      </c>
      <c r="Z271" s="1">
        <f>VLOOKUP($B271&amp;"__wt",'SegEnds_Xtal_BW#'!$A:$Z,26,FALSE)</f>
        <v>66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21</v>
      </c>
      <c r="AE271" s="1">
        <f>VLOOKUP(A271,'SegEnds_NonXtal_Prot#'!A:AL,16,FALSE)-VLOOKUP(A271,'SegEnds_NonXtal_Prot#'!A:AL,10,FALSE)</f>
        <v>56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33</v>
      </c>
      <c r="AH271" s="1">
        <f>VLOOKUP(A271,'SegEnds_NonXtal_Prot#'!A:AL,28,FALSE)-VLOOKUP(A271,'SegEnds_NonXtal_Prot#'!A:AL,22,FALSE)</f>
        <v>59</v>
      </c>
      <c r="AI271" s="1">
        <f>VLOOKUP(A271,'SegEnds_NonXtal_Prot#'!A:AL,31,FALSE)-VLOOKUP(A271,'SegEnds_NonXtal_Prot#'!A:AL,28,FALSE)</f>
        <v>56</v>
      </c>
      <c r="AJ271" s="1">
        <f>VLOOKUP(A271,'SegEnds_NonXtal_Prot#'!A:AL,34,FALSE)-VLOOKUP(A271,'SegEnds_NonXtal_Prot#'!A:AL,31,FALSE)</f>
        <v>46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138</v>
      </c>
      <c r="B272" s="1" t="str">
        <f>VLOOKUP(A272,Xtal_Templ!A:B,2,FALSE)</f>
        <v>aa1r_human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50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INDEX(ICL3_classA!$G$2:$G$39,MATCH(MIN(ABS(AI272-ICL3_classA!$F$2:$F$39)),ABS(AI272-ICL3_classA!$F$2:$F$39),0))</f>
        <v>73</v>
      </c>
      <c r="U272" s="1">
        <f t="array" ref="U272">INDEX(ICL3_classA!$H$2:$H$39,MATCH(MIN(ABS(AI272-ICL3_classA!$F$2:$F$39)),ABS(AI272-ICL3_classA!$F$2:$F$39),0))</f>
        <v>22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60</v>
      </c>
      <c r="AI272" s="1">
        <f>VLOOKUP(A272,'SegEnds_NonXtal_Prot#'!A:AL,31,FALSE)-VLOOKUP(A272,'SegEnds_NonXtal_Prot#'!A:AL,28,FALSE)</f>
        <v>57</v>
      </c>
      <c r="AJ272" s="1">
        <f>VLOOKUP(A272,'SegEnds_NonXtal_Prot#'!A:AL,34,FALSE)-VLOOKUP(A272,'SegEnds_NonXtal_Prot#'!A:AL,31,FALSE)</f>
        <v>36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139</v>
      </c>
      <c r="B273" s="1" t="str">
        <f>VLOOKUP(A273,Xtal_Templ!A:B,2,FALSE)</f>
        <v>aa2ar_human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50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34</v>
      </c>
      <c r="T273" s="1">
        <f t="array" ref="T273">INDEX(ICL3_classA!$G$2:$G$39,MATCH(MIN(ABS(AI273-ICL3_classA!$F$2:$F$39)),ABS(AI273-ICL3_classA!$F$2:$F$39),0))</f>
        <v>74</v>
      </c>
      <c r="U273" s="1">
        <f t="array" ref="U273">INDEX(ICL3_classA!$H$2:$H$39,MATCH(MIN(ABS(AI273-ICL3_classA!$F$2:$F$39)),ABS(AI273-ICL3_classA!$F$2:$F$39),0))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60</v>
      </c>
      <c r="AI273" s="1">
        <f>VLOOKUP(A273,'SegEnds_NonXtal_Prot#'!A:AL,31,FALSE)-VLOOKUP(A273,'SegEnds_NonXtal_Prot#'!A:AL,28,FALSE)</f>
        <v>59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324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31">
        <f>VLOOKUP($B274&amp;"__wt",'SegEnds_Xtal_BW#'!$A:$Z,23,FALSE)</f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60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39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x14ac:dyDescent="0.2">
      <c r="A275" s="1" t="s">
        <v>1631</v>
      </c>
      <c r="B275" s="1" t="str">
        <f>VLOOKUP(A275,Xtal_Templ!A:B,2,FALSE)</f>
        <v>aa2ar_human</v>
      </c>
      <c r="C275" s="5">
        <f>VLOOKUP($B275&amp;"__wt",'SegEnds_Xtal_BW#'!$A:$Z,3,FALSE)</f>
        <v>27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08">
        <v>66</v>
      </c>
      <c r="I275" s="1">
        <f>VLOOKUP($B275&amp;"__wt",'SegEnds_Xtal_BW#'!$A:$Z,9,FALSE)</f>
        <v>50</v>
      </c>
      <c r="J275" s="1">
        <f>VLOOKUP($B275&amp;"__wt",'SegEnds_Xtal_BW#'!$A:$Z,10,FALSE)</f>
        <v>52</v>
      </c>
      <c r="K275" s="12">
        <f>VLOOKUP($B275&amp;"__wt",'SegEnds_Xtal_BW#'!$A:$Z,11,FALSE)</f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7">
        <f>VLOOKUP($B275&amp;"__wt",'SegEnds_Xtal_BW#'!$A:$Z,15,FALSE)</f>
        <v>38</v>
      </c>
      <c r="P275" s="108"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08">
        <v>35</v>
      </c>
      <c r="T275" s="1">
        <f t="array" ref="T275">INDEX(ICL3_classA!$G$2:$G$39,MATCH(MIN(ABS(AI275-ICL3_classA!$F$2:$F$39)),ABS(AI275-ICL3_classA!$F$2:$F$39),0))</f>
        <v>72</v>
      </c>
      <c r="U275" s="1">
        <f t="array" ref="U275">INDEX(ICL3_classA!$H$2:$H$39,MATCH(MIN(ABS(AI275-ICL3_classA!$F$2:$F$39)),ABS(AI275-ICL3_classA!$F$2:$F$39),0))</f>
        <v>23</v>
      </c>
      <c r="V275" s="108">
        <v>54</v>
      </c>
      <c r="W275" s="108">
        <v>32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60</v>
      </c>
      <c r="AI275" s="1">
        <f>VLOOKUP(A275,'SegEnds_NonXtal_Prot#'!A:AL,31,FALSE)-VLOOKUP(A275,'SegEnds_NonXtal_Prot#'!A:AL,28,FALSE)</f>
        <v>52</v>
      </c>
      <c r="AJ275" s="1">
        <f>VLOOKUP(A275,'SegEnds_NonXtal_Prot#'!A:AL,34,FALSE)-VLOOKUP(A275,'SegEnds_NonXtal_Prot#'!A:AL,31,FALSE)</f>
        <v>24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1636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08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f>VLOOKUP($B276&amp;"__wt",'SegEnds_Xtal_BW#'!$A:$Z,11,FALSE)</f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72</v>
      </c>
      <c r="U276" s="1">
        <f t="array" ref="U276">INDEX(ICL3_classA!$H$2:$H$39,MATCH(MIN(ABS(AI276-ICL3_classA!$F$2:$F$39)),ABS(AI276-ICL3_classA!$F$2:$F$39),0))</f>
        <v>23</v>
      </c>
      <c r="V276" s="108">
        <v>54</v>
      </c>
      <c r="W276" s="108">
        <v>32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52</v>
      </c>
      <c r="AJ276" s="1">
        <f>VLOOKUP(A276,'SegEnds_NonXtal_Prot#'!A:AL,34,FALSE)-VLOOKUP(A276,'SegEnds_NonXtal_Prot#'!A:AL,31,FALSE)</f>
        <v>25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1634</v>
      </c>
      <c r="B277" s="1" t="str">
        <f>VLOOKUP(A277,Xtal_Templ!A:B,2,FALSE)</f>
        <v>ccr2_human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08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f>VLOOKUP($B277&amp;"__wt",'SegEnds_Xtal_BW#'!$A:$Z,11,FALSE)</f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08">
        <v>35</v>
      </c>
      <c r="T277" s="1">
        <f t="array" ref="T277">INDEX(ICL3_classA!$G$2:$G$39,MATCH(MIN(ABS(AI277-ICL3_classA!$F$2:$F$39)),ABS(AI277-ICL3_classA!$F$2:$F$39),0))</f>
        <v>72</v>
      </c>
      <c r="U277" s="1">
        <f t="array" ref="U277">INDEX(ICL3_classA!$H$2:$H$39,MATCH(MIN(ABS(AI277-ICL3_classA!$F$2:$F$39)),ABS(AI277-ICL3_classA!$F$2:$F$39),0))</f>
        <v>24</v>
      </c>
      <c r="V277" s="108">
        <v>54</v>
      </c>
      <c r="W277" s="108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 t="e">
        <f>VLOOKUP(A277,'SegEnds_NonXtal_Prot#'!A:AL,13,FALSE)-VLOOKUP(A277,'SegEnds_NonXtal_Prot#'!A:AL,10,FALSE)</f>
        <v>#VALUE!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21</v>
      </c>
      <c r="AH277" s="1">
        <f>VLOOKUP(A277,'SegEnds_NonXtal_Prot#'!A:AL,28,FALSE)-VLOOKUP(A277,'SegEnds_NonXtal_Prot#'!A:AL,22,FALSE)</f>
        <v>61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24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250</v>
      </c>
      <c r="B278" s="1" t="str">
        <f>VLOOKUP(A278,Xtal_Templ!A:B,2,FALSE)</f>
        <v>fpr2_human</v>
      </c>
      <c r="C278" s="5">
        <f>VLOOKUP($B278&amp;"__wt",'SegEnds_Xtal_BW#'!$A:$Z,3,FALSE)</f>
        <v>25</v>
      </c>
      <c r="D278" s="1">
        <f>VLOOKUP($B278&amp;"__wt",'SegEnds_Xtal_BW#'!$A:$Z,4,FALSE)</f>
        <v>61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23</v>
      </c>
      <c r="T278" s="1">
        <f t="array" ref="T278">INDEX(ICL3_classA!$G$2:$G$39,MATCH(MIN(ABS(AI278-ICL3_classA!$F$2:$F$39)),ABS(AI278-ICL3_classA!$F$2:$F$39),0))</f>
        <v>68</v>
      </c>
      <c r="U278" s="1">
        <f t="array" ref="U278">INDEX(ICL3_classA!$H$2:$H$39,MATCH(MIN(ABS(AI278-ICL3_classA!$F$2:$F$39)),ABS(AI278-ICL3_classA!$F$2:$F$39),0))</f>
        <v>30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27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37</v>
      </c>
      <c r="AH278" s="1">
        <f>VLOOKUP(A278,'SegEnds_NonXtal_Prot#'!A:AL,28,FALSE)-VLOOKUP(A278,'SegEnds_NonXtal_Prot#'!A:AL,22,FALSE)</f>
        <v>62</v>
      </c>
      <c r="AI278" s="1">
        <f>VLOOKUP(A278,'SegEnds_NonXtal_Prot#'!A:AL,31,FALSE)-VLOOKUP(A278,'SegEnds_NonXtal_Prot#'!A:AL,28,FALSE)</f>
        <v>43</v>
      </c>
      <c r="AJ278" s="1">
        <f>VLOOKUP(A278,'SegEnds_NonXtal_Prot#'!A:AL,34,FALSE)-VLOOKUP(A278,'SegEnds_NonXtal_Prot#'!A:AL,31,FALSE)</f>
        <v>42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321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INDEX(ICL3_classA!$G$2:$G$39,MATCH(MIN(ABS(AI279-ICL3_classA!$F$2:$F$39)),ABS(AI279-ICL3_classA!$F$2:$F$39),0))</f>
        <v>73</v>
      </c>
      <c r="U279" s="1">
        <f t="array" ref="U279">INDEX(ICL3_classA!$H$2:$H$39,MATCH(MIN(ABS(AI279-ICL3_classA!$F$2:$F$39)),ABS(AI279-ICL3_classA!$F$2:$F$39),0))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63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62</v>
      </c>
      <c r="AI279" s="1">
        <f>VLOOKUP(A279,'SegEnds_NonXtal_Prot#'!A:AL,31,FALSE)-VLOOKUP(A279,'SegEnds_NonXtal_Prot#'!A:AL,28,FALSE)</f>
        <v>57</v>
      </c>
      <c r="AJ279" s="1">
        <f>VLOOKUP(A279,'SegEnds_NonXtal_Prot#'!A:AL,34,FALSE)-VLOOKUP(A279,'SegEnds_NonXtal_Prot#'!A:AL,31,FALSE)</f>
        <v>41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326</v>
      </c>
      <c r="B280" s="1" t="str">
        <f>VLOOKUP(A280,Xtal_Templ!A:B,2,FALSE)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08" t="s">
        <v>23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INDEX(ICL3_classA!$G$2:$G$39,MATCH(MIN(ABS(AI280-ICL3_classA!$F$2:$F$39)),ABS(AI280-ICL3_classA!$F$2:$F$39),0))</f>
        <v>72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31">
        <f>VLOOKUP($B280&amp;"__wt",'SegEnds_Xtal_BW#'!$A:$Z,23,FALSE)</f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62</v>
      </c>
      <c r="AI280" s="1">
        <f>VLOOKUP(A280,'SegEnds_NonXtal_Prot#'!A:AL,31,FALSE)-VLOOKUP(A280,'SegEnds_NonXtal_Prot#'!A:AL,28,FALSE)</f>
        <v>54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328</v>
      </c>
      <c r="B281" s="1" t="str">
        <f>VLOOKUP(A281,Xtal_Templ!A:B,2,FALSE)</f>
        <v>npy1r_human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 t="str">
        <f>VLOOKUP($B281&amp;"__wt",'SegEnds_Xtal_BW#'!$A:$Z,14,FALSE)</f>
        <v>-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61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29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62</v>
      </c>
      <c r="AI281" s="1">
        <f>VLOOKUP(A281,'SegEnds_NonXtal_Prot#'!A:AL,31,FALSE)-VLOOKUP(A281,'SegEnds_NonXtal_Prot#'!A:AL,28,FALSE)</f>
        <v>55</v>
      </c>
      <c r="AJ281" s="1" t="e">
        <f>VLOOKUP(A281,'SegEnds_NonXtal_Prot#'!A:AL,34,FALSE)-VLOOKUP(A281,'SegEnds_NonXtal_Prot#'!A:AL,31,FALSE)</f>
        <v>#VALUE!</v>
      </c>
      <c r="AK281" s="1" t="e">
        <f>VLOOKUP(A281,'SegEnds_NonXtal_Prot#'!A:AL,37,FALSE)-VLOOKUP(A281,'SegEnds_NonXtal_Prot#'!A:AL,34,FALSE)</f>
        <v>#VALUE!</v>
      </c>
      <c r="AL281" s="1" t="str">
        <f>IF(ISERROR(MATCH(A281,'SegEnds_Xtal_Prot#'!B:B, 0)), "NoXtal", "Xtal")</f>
        <v>NoXtal</v>
      </c>
    </row>
    <row r="282" spans="1:38" x14ac:dyDescent="0.2">
      <c r="A282" s="1" t="s">
        <v>359</v>
      </c>
      <c r="B282" s="1" t="str">
        <f>VLOOKUP(A282,Xtal_Templ!A:B,2,FALSE)</f>
        <v>pd2r2_human</v>
      </c>
      <c r="C282" s="5">
        <f>VLOOKUP($B282&amp;"__wt",'SegEnds_Xtal_BW#'!$A:$Z,3,FALSE)</f>
        <v>32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26</v>
      </c>
      <c r="T282" s="1">
        <f t="array" ref="T282">INDEX(ICL3_classA!$G$2:$G$39,MATCH(MIN(ABS(AI282-ICL3_classA!$F$2:$F$39)),ABS(AI282-ICL3_classA!$F$2:$F$39),0))</f>
        <v>68</v>
      </c>
      <c r="U282" s="1">
        <f t="array" ref="U282">INDEX(ICL3_classA!$H$2:$H$39,MATCH(MIN(ABS(AI282-ICL3_classA!$F$2:$F$39)),ABS(AI282-ICL3_classA!$F$2:$F$39),0))</f>
        <v>30</v>
      </c>
      <c r="V282" s="1">
        <v>61</v>
      </c>
      <c r="W282" s="108">
        <v>27</v>
      </c>
      <c r="X282" s="124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64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27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36</v>
      </c>
      <c r="AH282" s="1">
        <f>VLOOKUP(A282,'SegEnds_NonXtal_Prot#'!A:AL,28,FALSE)-VLOOKUP(A282,'SegEnds_NonXtal_Prot#'!A:AL,22,FALSE)</f>
        <v>62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40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1166</v>
      </c>
      <c r="B283" s="1" t="str">
        <f>VLOOKUP(A283,Xtal_Templ!A:B,2,FALSE)</f>
        <v>ffar1_human</v>
      </c>
      <c r="C283" s="5">
        <f>VLOOKUP($B283&amp;"__wt",'SegEnds_Xtal_BW#'!$A:$Z,3,FALSE)</f>
        <v>31</v>
      </c>
      <c r="D283" s="1">
        <f>VLOOKUP($B283&amp;"__wt",'SegEnds_Xtal_BW#'!$A:$Z,4,FALSE)</f>
        <v>64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65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INDEX(ICL3_classA!$G$2:$G$39,MATCH(MIN(ABS(AI283-ICL3_classA!$F$2:$F$39)),ABS(AI283-ICL3_classA!$F$2:$F$39),0))</f>
        <v>67</v>
      </c>
      <c r="U283" s="1">
        <f t="array" ref="U283">INDEX(ICL3_classA!$H$2:$H$39,MATCH(MIN(ABS(AI283-ICL3_classA!$F$2:$F$39)),ABS(AI283-ICL3_classA!$F$2:$F$39),0))</f>
        <v>28</v>
      </c>
      <c r="V283" s="1">
        <v>61</v>
      </c>
      <c r="W283" s="1">
        <v>32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63</v>
      </c>
      <c r="AI283" s="1">
        <f>VLOOKUP(A283,'SegEnds_NonXtal_Prot#'!A:AL,31,FALSE)-VLOOKUP(A283,'SegEnds_NonXtal_Prot#'!A:AL,28,FALSE)</f>
        <v>45</v>
      </c>
      <c r="AJ283" s="1">
        <f>VLOOKUP(A283,'SegEnds_NonXtal_Prot#'!A:AL,34,FALSE)-VLOOKUP(A283,'SegEnds_NonXtal_Prot#'!A:AL,31,FALSE)</f>
        <v>34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200</v>
      </c>
      <c r="B284" s="1" t="str">
        <f>VLOOKUP(A284,Xtal_Templ!A:B,2,FALSE)</f>
        <v>fpr2_human</v>
      </c>
      <c r="C284" s="5">
        <f>VLOOKUP($B284&amp;"__wt",'SegEnds_Xtal_BW#'!$A:$Z,3,FALSE)</f>
        <v>25</v>
      </c>
      <c r="D284" s="1">
        <f>VLOOKUP($B284&amp;"__wt",'SegEnds_Xtal_BW#'!$A:$Z,4,FALSE)</f>
        <v>61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23</v>
      </c>
      <c r="T284" s="1">
        <f t="array" ref="T284">INDEX(ICL3_classA!$G$2:$G$39,MATCH(MIN(ABS(AI284-ICL3_classA!$F$2:$F$39)),ABS(AI284-ICL3_classA!$F$2:$F$39),0))</f>
        <v>68</v>
      </c>
      <c r="U284" s="1">
        <f t="array" ref="U284">INDEX(ICL3_classA!$H$2:$H$39,MATCH(MIN(ABS(AI284-ICL3_classA!$F$2:$F$39)),ABS(AI284-ICL3_classA!$F$2:$F$39),0))</f>
        <v>30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27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37</v>
      </c>
      <c r="AH284" s="1">
        <f>VLOOKUP(A284,'SegEnds_NonXtal_Prot#'!A:AL,28,FALSE)-VLOOKUP(A284,'SegEnds_NonXtal_Prot#'!A:AL,22,FALSE)</f>
        <v>63</v>
      </c>
      <c r="AI284" s="1">
        <f>VLOOKUP(A284,'SegEnds_NonXtal_Prot#'!A:AL,31,FALSE)-VLOOKUP(A284,'SegEnds_NonXtal_Prot#'!A:AL,28,FALSE)</f>
        <v>43</v>
      </c>
      <c r="AJ284" s="1">
        <f>VLOOKUP(A284,'SegEnds_NonXtal_Prot#'!A:AL,34,FALSE)-VLOOKUP(A284,'SegEnds_NonXtal_Prot#'!A:AL,31,FALSE)</f>
        <v>42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201</v>
      </c>
      <c r="B285" s="1" t="str">
        <f>VLOOKUP(A285,Xtal_Templ!A:B,2,FALSE)</f>
        <v>fpr2_human</v>
      </c>
      <c r="C285" s="5">
        <f>VLOOKUP($B285&amp;"__wt",'SegEnds_Xtal_BW#'!$A:$Z,3,FALSE)</f>
        <v>25</v>
      </c>
      <c r="D285" s="1">
        <f>VLOOKUP($B285&amp;"__wt",'SegEnds_Xtal_BW#'!$A:$Z,4,FALSE)</f>
        <v>61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23</v>
      </c>
      <c r="T285" s="108">
        <v>69</v>
      </c>
      <c r="U285" s="108">
        <v>31</v>
      </c>
      <c r="V285" s="1">
        <v>61</v>
      </c>
      <c r="W285" s="108">
        <f>VLOOKUP($B285&amp;"__wt",'SegEnds_Xtal_BW#'!$A:$Z,23,FALSE)</f>
        <v>28</v>
      </c>
      <c r="X285" s="108"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37</v>
      </c>
      <c r="AH285" s="1">
        <f>VLOOKUP(A285,'SegEnds_NonXtal_Prot#'!A:AL,28,FALSE)-VLOOKUP(A285,'SegEnds_NonXtal_Prot#'!A:AL,22,FALSE)</f>
        <v>63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43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202</v>
      </c>
      <c r="B286" s="1" t="str">
        <f>VLOOKUP(A286,Xtal_Templ!A:B,2,FALSE)</f>
        <v>fpr2_human</v>
      </c>
      <c r="C286" s="5">
        <f>VLOOKUP($B286&amp;"__wt",'SegEnds_Xtal_BW#'!$A:$Z,3,FALSE)</f>
        <v>25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23</v>
      </c>
      <c r="T286" s="1">
        <f t="array" ref="T286">INDEX(ICL3_classA!$G$2:$G$39,MATCH(MIN(ABS(AI286-ICL3_classA!$F$2:$F$39)),ABS(AI286-ICL3_classA!$F$2:$F$39),0))</f>
        <v>68</v>
      </c>
      <c r="U286" s="1">
        <f t="array" ref="U286">INDEX(ICL3_classA!$H$2:$H$39,MATCH(MIN(ABS(AI286-ICL3_classA!$F$2:$F$39)),ABS(AI286-ICL3_classA!$F$2:$F$39),0))</f>
        <v>30</v>
      </c>
      <c r="V286" s="1">
        <v>61</v>
      </c>
      <c r="W286" s="1">
        <v>24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27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37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43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322</v>
      </c>
      <c r="B287" s="1" t="str">
        <f>VLOOKUP(A287,Xtal_Templ!A:B,2,FALSE)</f>
        <v>ox1r_human</v>
      </c>
      <c r="C287" s="5">
        <f>VLOOKUP($B287&amp;"__wt",'SegEnds_Xtal_BW#'!$A:$Z,3,FALSE)</f>
        <v>32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63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63</v>
      </c>
      <c r="AI287" s="1">
        <f>VLOOKUP(A287,'SegEnds_NonXtal_Prot#'!A:AL,31,FALSE)-VLOOKUP(A287,'SegEnds_NonXtal_Prot#'!A:AL,28,FALSE)</f>
        <v>58</v>
      </c>
      <c r="AJ287" s="1">
        <f>VLOOKUP(A287,'SegEnds_NonXtal_Prot#'!A:AL,34,FALSE)-VLOOKUP(A287,'SegEnds_NonXtal_Prot#'!A:AL,31,FALSE)</f>
        <v>41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350</v>
      </c>
      <c r="B288" s="1" t="str">
        <f>VLOOKUP(A288,Xtal_Templ!A:B,2,FALSE)</f>
        <v>p2ry1_human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INDEX(ICL3_classA!$G$2:$G$39,MATCH(MIN(ABS(AI288-ICL3_classA!$F$2:$F$39)),ABS(AI288-ICL3_classA!$F$2:$F$39),0))</f>
        <v>67</v>
      </c>
      <c r="U288" s="1">
        <f t="array" ref="U288">INDEX(ICL3_classA!$H$2:$H$39,MATCH(MIN(ABS(AI288-ICL3_classA!$F$2:$F$39)),ABS(AI288-ICL3_classA!$F$2:$F$39),0))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 t="e">
        <f>VLOOKUP(A288,'SegEnds_NonXtal_Prot#'!A:AL,10,FALSE)-VLOOKUP(A288,'SegEnds_NonXtal_Prot#'!A:AL,7,FALSE)</f>
        <v>#VALUE!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26</v>
      </c>
      <c r="AH288" s="1">
        <f>VLOOKUP(A288,'SegEnds_NonXtal_Prot#'!A:AL,28,FALSE)-VLOOKUP(A288,'SegEnds_NonXtal_Prot#'!A:AL,22,FALSE)</f>
        <v>63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55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140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50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INDEX(ICL3_classA!$G$2:$G$39,MATCH(MIN(ABS(AI289-ICL3_classA!$F$2:$F$39)),ABS(AI289-ICL3_classA!$F$2:$F$39),0))</f>
        <v>73</v>
      </c>
      <c r="U289" s="1">
        <f t="array" ref="U289">INDEX(ICL3_classA!$H$2:$H$39,MATCH(MIN(ABS(AI289-ICL3_classA!$F$2:$F$39)),ABS(AI289-ICL3_classA!$F$2:$F$39),0))</f>
        <v>22</v>
      </c>
      <c r="V289" s="1">
        <v>61</v>
      </c>
      <c r="W289" s="131">
        <f>VLOOKUP($B289&amp;"__wt",'SegEnds_Xtal_BW#'!$A:$Z,23,FALSE)</f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50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64</v>
      </c>
      <c r="AI289" s="1">
        <f>VLOOKUP(A289,'SegEnds_NonXtal_Prot#'!A:AL,31,FALSE)-VLOOKUP(A289,'SegEnds_NonXtal_Prot#'!A:AL,28,FALSE)</f>
        <v>55</v>
      </c>
      <c r="AJ289" s="1">
        <f>VLOOKUP(A289,'SegEnds_NonXtal_Prot#'!A:AL,34,FALSE)-VLOOKUP(A289,'SegEnds_NonXtal_Prot#'!A:AL,31,FALSE)</f>
        <v>38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251</v>
      </c>
      <c r="B290" s="1" t="str">
        <f>VLOOKUP(A290,Xtal_Templ!A:B,2,FALSE)</f>
        <v>fpr2_human</v>
      </c>
      <c r="C290" s="5">
        <f>VLOOKUP($B290&amp;"__wt",'SegEnds_Xtal_BW#'!$A:$Z,3,FALSE)</f>
        <v>25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23</v>
      </c>
      <c r="T290" s="1">
        <f t="array" ref="T290">INDEX(ICL3_classA!$G$2:$G$39,MATCH(MIN(ABS(AI290-ICL3_classA!$F$2:$F$39)),ABS(AI290-ICL3_classA!$F$2:$F$39),0))</f>
        <v>68</v>
      </c>
      <c r="U290" s="1">
        <f t="array" ref="U290">INDEX(ICL3_classA!$H$2:$H$39,MATCH(MIN(ABS(AI290-ICL3_classA!$F$2:$F$39)),ABS(AI290-ICL3_classA!$F$2:$F$39),0))</f>
        <v>30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27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38</v>
      </c>
      <c r="AH290" s="1">
        <f>VLOOKUP(A290,'SegEnds_NonXtal_Prot#'!A:AL,28,FALSE)-VLOOKUP(A290,'SegEnds_NonXtal_Prot#'!A:AL,22,FALSE)</f>
        <v>64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1676</v>
      </c>
      <c r="B291" s="1" t="str">
        <f>VLOOKUP(A291,Xtal_Templ!A:B,2,FALSE)</f>
        <v>ednrb_human</v>
      </c>
      <c r="C291" s="5">
        <f>VLOOKUP($B291&amp;"__wt",'SegEnds_Xtal_BW#'!$A:$Z,3,FALSE)</f>
        <v>22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52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28</v>
      </c>
      <c r="T291" s="1">
        <f t="array" ref="T291">INDEX(ICL3_classA!$G$2:$G$39,MATCH(MIN(ABS(AI291-ICL3_classA!$F$2:$F$39)),ABS(AI291-ICL3_classA!$F$2:$F$39),0))</f>
        <v>72</v>
      </c>
      <c r="U291" s="1">
        <f t="array" ref="U291">INDEX(ICL3_classA!$H$2:$H$39,MATCH(MIN(ABS(AI291-ICL3_classA!$F$2:$F$39)),ABS(AI291-ICL3_classA!$F$2:$F$39),0))</f>
        <v>24</v>
      </c>
      <c r="V291" s="1">
        <v>61</v>
      </c>
      <c r="W291" s="131">
        <f>VLOOKUP($B291&amp;"__wt",'SegEnds_Xtal_BW#'!$A:$Z,23,FALSE)</f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35</v>
      </c>
      <c r="AH291" s="1">
        <f>VLOOKUP(A291,'SegEnds_NonXtal_Prot#'!A:AL,28,FALSE)-VLOOKUP(A291,'SegEnds_NonXtal_Prot#'!A:AL,22,FALSE)</f>
        <v>65</v>
      </c>
      <c r="AI291" s="1">
        <f>VLOOKUP(A291,'SegEnds_NonXtal_Prot#'!A:AL,31,FALSE)-VLOOKUP(A291,'SegEnds_NonXtal_Prot#'!A:AL,28,FALSE)</f>
        <v>53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254</v>
      </c>
      <c r="B292" s="1" t="str">
        <f>VLOOKUP(A292,Xtal_Templ!A:B,2,FALSE)</f>
        <v>ednrb_human</v>
      </c>
      <c r="C292" s="5">
        <f>VLOOKUP($B292&amp;"__wt",'SegEnds_Xtal_BW#'!$A:$Z,3,FALSE)</f>
        <v>22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28</v>
      </c>
      <c r="T292" s="1">
        <f t="array" ref="T292">INDEX(ICL3_classA!$G$2:$G$39,MATCH(MIN(ABS(AI292-ICL3_classA!$F$2:$F$39)),ABS(AI292-ICL3_classA!$F$2:$F$39),0))</f>
        <v>72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31">
        <f>VLOOKUP($B292&amp;"__wt",'SegEnds_Xtal_BW#'!$A:$Z,23,FALSE)</f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35</v>
      </c>
      <c r="AH292" s="1">
        <f>VLOOKUP(A292,'SegEnds_NonXtal_Prot#'!A:AL,28,FALSE)-VLOOKUP(A292,'SegEnds_NonXtal_Prot#'!A:AL,22,FALSE)</f>
        <v>67</v>
      </c>
      <c r="AI292" s="1">
        <f>VLOOKUP(A292,'SegEnds_NonXtal_Prot#'!A:AL,31,FALSE)-VLOOKUP(A292,'SegEnds_NonXtal_Prot#'!A:AL,28,FALSE)</f>
        <v>53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181</v>
      </c>
      <c r="B293" s="1" t="str">
        <f>VLOOKUP(A293,Xtal_Templ!A:B,2,FALSE)</f>
        <v>fpr2_human</v>
      </c>
      <c r="C293" s="5">
        <f>VLOOKUP($B293&amp;"__wt",'SegEnds_Xtal_BW#'!$A:$Z,3,FALSE)</f>
        <v>25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23</v>
      </c>
      <c r="T293" s="1">
        <f t="array" ref="T293">INDEX(ICL3_classA!$G$2:$G$39,MATCH(MIN(ABS(AI293-ICL3_classA!$F$2:$F$39)),ABS(AI293-ICL3_classA!$F$2:$F$39),0))</f>
        <v>68</v>
      </c>
      <c r="U293" s="1">
        <f t="array" ref="U293">INDEX(ICL3_classA!$H$2:$H$39,MATCH(MIN(ABS(AI293-ICL3_classA!$F$2:$F$39)),ABS(AI293-ICL3_classA!$F$2:$F$39),0))</f>
        <v>30</v>
      </c>
      <c r="V293" s="1">
        <v>61</v>
      </c>
      <c r="W293" s="108">
        <v>25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27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43</v>
      </c>
      <c r="AH293" s="1">
        <f>VLOOKUP(A293,'SegEnds_NonXtal_Prot#'!A:AL,28,FALSE)-VLOOKUP(A293,'SegEnds_NonXtal_Prot#'!A:AL,22,FALSE)</f>
        <v>68</v>
      </c>
      <c r="AI293" s="1">
        <f>VLOOKUP(A293,'SegEnds_NonXtal_Prot#'!A:AL,31,FALSE)-VLOOKUP(A293,'SegEnds_NonXtal_Prot#'!A:AL,28,FALSE)</f>
        <v>43</v>
      </c>
      <c r="AJ293" s="1">
        <f>VLOOKUP(A293,'SegEnds_NonXtal_Prot#'!A:AL,34,FALSE)-VLOOKUP(A293,'SegEnds_NonXtal_Prot#'!A:AL,31,FALSE)</f>
        <v>38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255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INDEX(ICL3_classA!$G$2:$G$39,MATCH(MIN(ABS(AI294-ICL3_classA!$F$2:$F$39)),ABS(AI294-ICL3_classA!$F$2:$F$39),0))</f>
        <v>76</v>
      </c>
      <c r="U294" s="1">
        <f t="array" ref="U294">INDEX(ICL3_classA!$H$2:$H$39,MATCH(MIN(ABS(AI294-ICL3_classA!$F$2:$F$39)),ABS(AI294-ICL3_classA!$F$2:$F$39),0))</f>
        <v>24</v>
      </c>
      <c r="V294" s="1">
        <v>61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62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31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54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21</v>
      </c>
      <c r="AH294" s="1">
        <f>VLOOKUP(A294,'SegEnds_NonXtal_Prot#'!A:AL,28,FALSE)-VLOOKUP(A294,'SegEnds_NonXtal_Prot#'!A:AL,22,FALSE)</f>
        <v>71</v>
      </c>
      <c r="AI294" s="1">
        <f>VLOOKUP(A294,'SegEnds_NonXtal_Prot#'!A:AL,31,FALSE)-VLOOKUP(A294,'SegEnds_NonXtal_Prot#'!A:AL,28,FALSE)</f>
        <v>67</v>
      </c>
      <c r="AJ294" s="1">
        <f>VLOOKUP(A294,'SegEnds_NonXtal_Prot#'!A:AL,34,FALSE)-VLOOKUP(A294,'SegEnds_NonXtal_Prot#'!A:AL,31,FALSE)</f>
        <v>43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194</v>
      </c>
      <c r="B295" s="1" t="str">
        <f>VLOOKUP(A295,Xtal_Templ!A:B,2,FALSE)</f>
        <v>adrb2_human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INDEX(ICL3_classA!$G$2:$G$39,MATCH(MIN(ABS(AI295-ICL3_classA!$F$2:$F$39)),ABS(AI295-ICL3_classA!$F$2:$F$39),0))</f>
        <v>76</v>
      </c>
      <c r="U295" s="1">
        <f t="array" ref="U295">INDEX(ICL3_classA!$H$2:$H$39,MATCH(MIN(ABS(AI295-ICL3_classA!$F$2:$F$39)),ABS(AI295-ICL3_classA!$F$2:$F$39),0))</f>
        <v>24</v>
      </c>
      <c r="V295" s="1">
        <v>64</v>
      </c>
      <c r="W295" s="1">
        <v>24</v>
      </c>
      <c r="X295" s="125"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29</v>
      </c>
      <c r="AC295" s="1">
        <f>VLOOKUP(A295,'SegEnds_NonXtal_Prot#'!A:AL,10,FALSE)-VLOOKUP(A295,'SegEnds_NonXtal_Prot#'!A:AL,7,FALSE)</f>
        <v>16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20</v>
      </c>
      <c r="AH295" s="1">
        <f>VLOOKUP(A295,'SegEnds_NonXtal_Prot#'!A:AL,28,FALSE)-VLOOKUP(A295,'SegEnds_NonXtal_Prot#'!A:AL,22,FALSE)</f>
        <v>72</v>
      </c>
      <c r="AI295" s="1">
        <f>VLOOKUP(A295,'SegEnds_NonXtal_Prot#'!A:AL,31,FALSE)-VLOOKUP(A295,'SegEnds_NonXtal_Prot#'!A:AL,28,FALSE)</f>
        <v>74</v>
      </c>
      <c r="AJ295" s="1">
        <f>VLOOKUP(A295,'SegEnds_NonXtal_Prot#'!A:AL,34,FALSE)-VLOOKUP(A295,'SegEnds_NonXtal_Prot#'!A:AL,31,FALSE)</f>
        <v>45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272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74</v>
      </c>
      <c r="U296" s="1">
        <f t="array" ref="U296">INDEX(ICL3_classA!$H$2:$H$39,MATCH(MIN(ABS(AI296-ICL3_classA!$F$2:$F$39)),ABS(AI296-ICL3_classA!$F$2:$F$39),0))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61</v>
      </c>
      <c r="AF296" s="1">
        <f>VLOOKUP(A296,'SegEnds_NonXtal_Prot#'!A:AL,22,FALSE)-VLOOKUP(A296,'SegEnds_NonXtal_Prot#'!A:AL,19,FALSE)</f>
        <v>20</v>
      </c>
      <c r="AG296" s="1" t="e">
        <f>VLOOKUP(A296,'SegEnds_NonXtal_Prot#'!A:AL,28,FALSE)-VLOOKUP(A296,'SegEnds_NonXtal_Prot#'!A:AL,25,FALSE)</f>
        <v>#VALUE!</v>
      </c>
      <c r="AH296" s="1">
        <f>VLOOKUP(A296,'SegEnds_NonXtal_Prot#'!A:AL,28,FALSE)-VLOOKUP(A296,'SegEnds_NonXtal_Prot#'!A:AL,22,FALSE)</f>
        <v>72</v>
      </c>
      <c r="AI296" s="1">
        <f>VLOOKUP(A296,'SegEnds_NonXtal_Prot#'!A:AL,31,FALSE)-VLOOKUP(A296,'SegEnds_NonXtal_Prot#'!A:AL,28,FALSE)</f>
        <v>61</v>
      </c>
      <c r="AJ296" s="1">
        <f>VLOOKUP(A296,'SegEnds_NonXtal_Prot#'!A:AL,34,FALSE)-VLOOKUP(A296,'SegEnds_NonXtal_Prot#'!A:AL,31,FALSE)</f>
        <v>34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221</v>
      </c>
      <c r="B297" s="1" t="str">
        <f>VLOOKUP(A297,Xtal_Templ!A:B,2,FALSE)</f>
        <v>cxcr4_human</v>
      </c>
      <c r="C297" s="5">
        <f>VLOOKUP($B297&amp;"__wt",'SegEnds_Xtal_BW#'!$A:$Z,3,FALSE)</f>
        <v>24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INDEX(ICL3_classA!$G$2:$G$39,MATCH(MIN(ABS(AI297-ICL3_classA!$F$2:$F$39)),ABS(AI297-ICL3_classA!$F$2:$F$39),0))</f>
        <v>74</v>
      </c>
      <c r="U297" s="1">
        <f t="array" ref="U297">INDEX(ICL3_classA!$H$2:$H$39,MATCH(MIN(ABS(AI297-ICL3_classA!$F$2:$F$39)),ABS(AI297-ICL3_classA!$F$2:$F$39),0))</f>
        <v>21</v>
      </c>
      <c r="V297" s="1">
        <v>61</v>
      </c>
      <c r="W297" s="131">
        <f>VLOOKUP($B297&amp;"__wt",'SegEnds_Xtal_BW#'!$A:$Z,23,FALSE)</f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33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54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27</v>
      </c>
      <c r="AH297" s="1">
        <f>VLOOKUP(A297,'SegEnds_NonXtal_Prot#'!A:AL,28,FALSE)-VLOOKUP(A297,'SegEnds_NonXtal_Prot#'!A:AL,22,FALSE)</f>
        <v>75</v>
      </c>
      <c r="AI297" s="1">
        <f>VLOOKUP(A297,'SegEnds_NonXtal_Prot#'!A:AL,31,FALSE)-VLOOKUP(A297,'SegEnds_NonXtal_Prot#'!A:AL,28,FALSE)</f>
        <v>66</v>
      </c>
      <c r="AJ297" s="1">
        <f>VLOOKUP(A297,'SegEnds_NonXtal_Prot#'!A:AL,34,FALSE)-VLOOKUP(A297,'SegEnds_NonXtal_Prot#'!A:AL,31,FALSE)</f>
        <v>39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229</v>
      </c>
      <c r="B298" s="1" t="str">
        <f>VLOOKUP(A298,Xtal_Templ!A:B,2,FALSE)</f>
        <v>5ht2a_human</v>
      </c>
      <c r="C298" s="5">
        <f>VLOOKUP($B298&amp;"__wt",'SegEnds_Xtal_BW#'!$A:$Z,3,FALSE)</f>
        <v>27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67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74</v>
      </c>
      <c r="U298" s="1">
        <f t="array" ref="U298">INDEX(ICL3_classA!$H$2:$H$39,MATCH(MIN(ABS(AI298-ICL3_classA!$F$2:$F$39)),ABS(AI298-ICL3_classA!$F$2:$F$39),0))</f>
        <v>21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53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61</v>
      </c>
      <c r="AH298" s="1">
        <f>VLOOKUP(A298,'SegEnds_NonXtal_Prot#'!A:AL,28,FALSE)-VLOOKUP(A298,'SegEnds_NonXtal_Prot#'!A:AL,22,FALSE)</f>
        <v>87</v>
      </c>
      <c r="AI298" s="1">
        <f>VLOOKUP(A298,'SegEnds_NonXtal_Prot#'!A:AL,31,FALSE)-VLOOKUP(A298,'SegEnds_NonXtal_Prot#'!A:AL,28,FALSE)</f>
        <v>66</v>
      </c>
      <c r="AJ298" s="1">
        <f>VLOOKUP(A298,'SegEnds_NonXtal_Prot#'!A:AL,34,FALSE)-VLOOKUP(A298,'SegEnds_NonXtal_Prot#'!A:AL,31,FALSE)</f>
        <v>36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270</v>
      </c>
      <c r="B299" s="1" t="str">
        <f>VLOOKUP(A299,Xtal_Templ!A:B,2,FALSE)</f>
        <v>5ht2c_human</v>
      </c>
      <c r="C299" s="5">
        <f>VLOOKUP($B299&amp;"__wt",'SegEnds_Xtal_BW#'!$A:$Z,3,FALSE)</f>
        <v>33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67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76</v>
      </c>
      <c r="U299" s="1">
        <f t="array" ref="U299">INDEX(ICL3_classA!$H$2:$H$39,MATCH(MIN(ABS(AI299-ICL3_classA!$F$2:$F$39)),ABS(AI299-ICL3_classA!$F$2:$F$39),0))</f>
        <v>24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60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21</v>
      </c>
      <c r="AE299" s="1">
        <f>VLOOKUP(A299,'SegEnds_NonXtal_Prot#'!A:AL,16,FALSE)-VLOOKUP(A299,'SegEnds_NonXtal_Prot#'!A:AL,10,FALSE)</f>
        <v>53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61</v>
      </c>
      <c r="AH299" s="1">
        <f>VLOOKUP(A299,'SegEnds_NonXtal_Prot#'!A:AL,28,FALSE)-VLOOKUP(A299,'SegEnds_NonXtal_Prot#'!A:AL,22,FALSE)</f>
        <v>87</v>
      </c>
      <c r="AI299" s="1">
        <f>VLOOKUP(A299,'SegEnds_NonXtal_Prot#'!A:AL,31,FALSE)-VLOOKUP(A299,'SegEnds_NonXtal_Prot#'!A:AL,28,FALSE)</f>
        <v>67</v>
      </c>
      <c r="AJ299" s="1">
        <f>VLOOKUP(A299,'SegEnds_NonXtal_Prot#'!A:AL,34,FALSE)-VLOOKUP(A299,'SegEnds_NonXtal_Prot#'!A:AL,31,FALSE)</f>
        <v>36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269</v>
      </c>
      <c r="B300" s="1" t="str">
        <f>VLOOKUP(A300,Xtal_Templ!A:B,2,FALSE)</f>
        <v>ednrb_human</v>
      </c>
      <c r="C300" s="5">
        <f>VLOOKUP($B300&amp;"__wt",'SegEnds_Xtal_BW#'!$A:$Z,3,FALSE)</f>
        <v>22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52</v>
      </c>
      <c r="G300" s="1">
        <v>37</v>
      </c>
      <c r="H300" s="12">
        <f>VLOOKUP($B300&amp;"__wt",'SegEnds_Xtal_BW#'!$A:$Z,8,FALSE)</f>
        <v>67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21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v>38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28</v>
      </c>
      <c r="T300" s="1">
        <f t="array" ref="T300">INDEX(ICL3_classA!$G$2:$G$39,MATCH(MIN(ABS(AI300-ICL3_classA!$F$2:$F$39)),ABS(AI300-ICL3_classA!$F$2:$F$39),0))</f>
        <v>74</v>
      </c>
      <c r="U300" s="1">
        <f t="array" ref="U300">INDEX(ICL3_classA!$H$2:$H$39,MATCH(MIN(ABS(AI300-ICL3_classA!$F$2:$F$39)),ABS(AI300-ICL3_classA!$F$2:$F$39),0))</f>
        <v>24</v>
      </c>
      <c r="V300" s="1">
        <v>61</v>
      </c>
      <c r="W300" s="1">
        <v>33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52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67</v>
      </c>
      <c r="AH300" s="1">
        <f>VLOOKUP(A300,'SegEnds_NonXtal_Prot#'!A:AL,28,FALSE)-VLOOKUP(A300,'SegEnds_NonXtal_Prot#'!A:AL,22,FALSE)</f>
        <v>90</v>
      </c>
      <c r="AI300" s="1">
        <f>VLOOKUP(A300,'SegEnds_NonXtal_Prot#'!A:AL,31,FALSE)-VLOOKUP(A300,'SegEnds_NonXtal_Prot#'!A:AL,28,FALSE)</f>
        <v>99</v>
      </c>
      <c r="AJ300" s="1">
        <f>VLOOKUP(A300,'SegEnds_NonXtal_Prot#'!A:AL,34,FALSE)-VLOOKUP(A300,'SegEnds_NonXtal_Prot#'!A:AL,31,FALSE)</f>
        <v>33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309</v>
      </c>
      <c r="B301" s="1" t="str">
        <f>VLOOKUP(A301,Xtal_Templ!A:B,2,FALSE)</f>
        <v>ntr1_rat</v>
      </c>
      <c r="C301" s="5">
        <f>VLOOKUP($B301&amp;"__wt",'SegEnds_Xtal_BW#'!$A:$Z,3,FALSE)</f>
        <v>29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v>67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INDEX(ICL3_classA!$G$2:$G$39,MATCH(MIN(ABS(AI301-ICL3_classA!$F$2:$F$39)),ABS(AI301-ICL3_classA!$F$2:$F$39),0))</f>
        <v>72</v>
      </c>
      <c r="U301" s="1">
        <f t="array" ref="U301">INDEX(ICL3_classA!$H$2:$H$39,MATCH(MIN(ABS(AI301-ICL3_classA!$F$2:$F$39)),ABS(AI301-ICL3_classA!$F$2:$F$39),0))</f>
        <v>24</v>
      </c>
      <c r="V301" s="1">
        <v>61</v>
      </c>
      <c r="W301" s="131">
        <f>VLOOKUP($B301&amp;"__wt",'SegEnds_Xtal_BW#'!$A:$Z,23,FALSE)</f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62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>
        <f>VLOOKUP(A301,'SegEnds_NonXtal_Prot#'!A:AL,22,FALSE)-VLOOKUP(A301,'SegEnds_NonXtal_Prot#'!A:AL,19,FALSE)</f>
        <v>20</v>
      </c>
      <c r="AG301" s="1">
        <f>VLOOKUP(A301,'SegEnds_NonXtal_Prot#'!A:AL,28,FALSE)-VLOOKUP(A301,'SegEnds_NonXtal_Prot#'!A:AL,25,FALSE)</f>
        <v>24</v>
      </c>
      <c r="AH301" s="1">
        <f>VLOOKUP(A301,'SegEnds_NonXtal_Prot#'!A:AL,28,FALSE)-VLOOKUP(A301,'SegEnds_NonXtal_Prot#'!A:AL,22,FALSE)</f>
        <v>96</v>
      </c>
      <c r="AI301" s="1">
        <f>VLOOKUP(A301,'SegEnds_NonXtal_Prot#'!A:AL,31,FALSE)-VLOOKUP(A301,'SegEnds_NonXtal_Prot#'!A:AL,28,FALSE)</f>
        <v>54</v>
      </c>
      <c r="AJ301" s="1">
        <f>VLOOKUP(A301,'SegEnds_NonXtal_Prot#'!A:AL,34,FALSE)-VLOOKUP(A301,'SegEnds_NonXtal_Prot#'!A:AL,31,FALSE)</f>
        <v>39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164</v>
      </c>
      <c r="B302" s="1" t="str">
        <f>VLOOKUP(A302,Xtal_Templ!A:B,2,FALSE)</f>
        <v>c5ar1_human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67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31</v>
      </c>
      <c r="T302" s="1">
        <f t="array" ref="T302">INDEX(ICL3_classA!$G$2:$G$39,MATCH(MIN(ABS(AI302-ICL3_classA!$F$2:$F$39)),ABS(AI302-ICL3_classA!$F$2:$F$39),0))</f>
        <v>68</v>
      </c>
      <c r="U302" s="108">
        <v>31</v>
      </c>
      <c r="V302" s="1">
        <v>61</v>
      </c>
      <c r="W302" s="108">
        <v>25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56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27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>
        <f>VLOOKUP(A302,'SegEnds_NonXtal_Prot#'!A:AL,28,FALSE)-VLOOKUP(A302,'SegEnds_NonXtal_Prot#'!A:AL,25,FALSE)</f>
        <v>176</v>
      </c>
      <c r="AH302" s="1">
        <f>VLOOKUP(A302,'SegEnds_NonXtal_Prot#'!A:AL,28,FALSE)-VLOOKUP(A302,'SegEnds_NonXtal_Prot#'!A:AL,22,FALSE)</f>
        <v>201</v>
      </c>
      <c r="AI302" s="1">
        <f>VLOOKUP(A302,'SegEnds_NonXtal_Prot#'!A:AL,31,FALSE)-VLOOKUP(A302,'SegEnds_NonXtal_Prot#'!A:AL,28,FALSE)</f>
        <v>44</v>
      </c>
      <c r="AJ302" s="1">
        <f>VLOOKUP(A302,'SegEnds_NonXtal_Prot#'!A:AL,34,FALSE)-VLOOKUP(A302,'SegEnds_NonXtal_Prot#'!A:AL,31,FALSE)</f>
        <v>40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400</v>
      </c>
      <c r="B303" s="42" t="str">
        <f>VLOOKUP(A303,Xtal_Templ!A:B,2,FALSE)</f>
        <v>calcr_human</v>
      </c>
      <c r="C303" s="43">
        <f>VLOOKUP($B303&amp;"__wt",'SegEnds_Xtal_BW#'!$A:$Z,3,FALSE)</f>
        <v>19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16">
        <v>64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23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41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40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4">
        <f>VLOOKUP($B303&amp;"__wt",'SegEnds_Xtal_BW#'!$A:$Z,22,FALSE)</f>
        <v>53</v>
      </c>
      <c r="W303" s="116">
        <v>28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53</v>
      </c>
      <c r="AF303" s="1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2">
        <f>VLOOKUP(A303,'SegEnds_NonXtal_Prot#'!A:AL,31,FALSE)-VLOOKUP(A303,'SegEnds_NonXtal_Prot#'!A:AL,28,FALSE)</f>
        <v>50</v>
      </c>
      <c r="AJ303" s="42">
        <f>VLOOKUP(A303,'SegEnds_NonXtal_Prot#'!A:AL,34,FALSE)-VLOOKUP(A303,'SegEnds_NonXtal_Prot#'!A:AL,31,FALSE)</f>
        <v>30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Xtal</v>
      </c>
    </row>
    <row r="304" spans="1:38" x14ac:dyDescent="0.2">
      <c r="A304" s="1" t="s">
        <v>401</v>
      </c>
      <c r="B304" s="1" t="str">
        <f>VLOOKUP(A304,Xtal_Templ!A:B,2,FALSE)</f>
        <v>calrl_human</v>
      </c>
      <c r="C304" s="5">
        <f>VLOOKUP($B304&amp;"__wt",'SegEnds_Xtal_BW#'!$A:$Z,3,FALSE)</f>
        <v>24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23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41</v>
      </c>
      <c r="P304" s="1">
        <f>VLOOKUP($B304&amp;"__wt",'SegEnds_Xtal_BW#'!$A:$Z,16,FALSE)</f>
        <v>67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">
        <f>VLOOKUP($B304&amp;"__wt",'SegEnds_Xtal_BW#'!$A:$Z,19,FALSE)</f>
        <v>39</v>
      </c>
      <c r="T304" s="1">
        <f>VLOOKUP($B304&amp;"__wt",'SegEnds_Xtal_BW#'!$A:$Z,20,FALSE)</f>
        <v>70</v>
      </c>
      <c r="U304" s="1">
        <f>VLOOKUP($B304&amp;"__wt",'SegEnds_Xtal_BW#'!$A:$Z,21,FALSE)</f>
        <v>30</v>
      </c>
      <c r="V304" s="1">
        <f>VLOOKUP($B304&amp;"__wt",'SegEnds_Xtal_BW#'!$A:$Z,22,FALSE)</f>
        <v>53</v>
      </c>
      <c r="W304" s="108">
        <v>28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1">
        <f>VLOOKUP(A304,'SegEnds_NonXtal_Prot#'!A:AL,31,FALSE)-VLOOKUP(A304,'SegEnds_NonXtal_Prot#'!A:AL,28,FALSE)</f>
        <v>50</v>
      </c>
      <c r="AJ304" s="1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4" t="s">
        <v>408</v>
      </c>
      <c r="B305" s="4" t="str">
        <f>VLOOKUP(A305,Xtal_Templ!A:B,2,FALSE)</f>
        <v>pth1r_human</v>
      </c>
      <c r="C305" s="5">
        <f>VLOOKUP($B305&amp;"__wt",'SegEnds_Xtal_BW#'!$A:$Z,3,FALSE)</f>
        <v>21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69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37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37</v>
      </c>
      <c r="T305" s="4">
        <v>69</v>
      </c>
      <c r="U305" s="4">
        <v>25</v>
      </c>
      <c r="V305" s="4">
        <f>VLOOKUP($B305&amp;"__wt",'SegEnds_Xtal_BW#'!$A:$Z,22,FALSE)</f>
        <v>54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76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4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53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409</v>
      </c>
      <c r="B306" s="4" t="str">
        <f>VLOOKUP(A306,Xtal_Templ!A:B,2,FALSE)</f>
        <v>pth1r_human</v>
      </c>
      <c r="C306" s="5">
        <f>VLOOKUP($B306&amp;"__wt",'SegEnds_Xtal_BW#'!$A:$Z,3,FALSE)</f>
        <v>21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69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37</v>
      </c>
      <c r="T306" s="4">
        <v>69</v>
      </c>
      <c r="U306" s="4">
        <v>25</v>
      </c>
      <c r="V306" s="4">
        <f>VLOOKUP($B306&amp;"__wt",'SegEnds_Xtal_BW#'!$A:$Z,22,FALSE)</f>
        <v>54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74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4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53</v>
      </c>
      <c r="AJ306" s="4">
        <f>VLOOKUP(A306,'SegEnds_NonXtal_Prot#'!A:AL,34,FALSE)-VLOOKUP(A306,'SegEnds_NonXtal_Prot#'!A:AL,31,FALSE)</f>
        <v>32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411</v>
      </c>
      <c r="B307" s="4" t="str">
        <f>VLOOKUP(A307,Xtal_Templ!A:B,2,FALSE)</f>
        <v>pacr_human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1414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5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4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Xtal</v>
      </c>
    </row>
    <row r="309" spans="1:38" x14ac:dyDescent="0.2">
      <c r="A309" s="4" t="s">
        <v>403</v>
      </c>
      <c r="B309" s="4" t="str">
        <f>VLOOKUP(A309,Xtal_Templ!A:B,2,FALSE)</f>
        <v>pacr_human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22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36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52</v>
      </c>
      <c r="AJ309" s="4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404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35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405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f>VLOOKUP($B311&amp;"__wt",'SegEnds_Xtal_BW#'!$A:$Z,19,FALSE)</f>
        <v>36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406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35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32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x14ac:dyDescent="0.2">
      <c r="A314" s="1" t="s">
        <v>407</v>
      </c>
      <c r="B314" s="1" t="str">
        <f>VLOOKUP(A314,Xtal_Templ!A:B,2,FALSE)</f>
        <v>pacr_human</v>
      </c>
      <c r="C314" s="5">
        <f>VLOOKUP($B314&amp;"__wt",'SegEnds_Xtal_BW#'!$A:$Z,3,FALSE)</f>
        <v>21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15">
        <v>64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08">
        <v>22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7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f>VLOOKUP($B314&amp;"__wt",'SegEnds_Xtal_BW#'!$A:$Z,19,FALSE)</f>
        <v>36</v>
      </c>
      <c r="T314" s="1">
        <v>69</v>
      </c>
      <c r="U314" s="1">
        <v>25</v>
      </c>
      <c r="V314" s="1">
        <f>VLOOKUP($B314&amp;"__wt",'SegEnds_Xtal_BW#'!$A:$Z,22,FALSE)</f>
        <v>54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1">
        <f>VLOOKUP(A314,'SegEnds_NonXtal_Prot#'!A:AL,10,FALSE)-VLOOKUP(A314,'SegEnds_NonXtal_Prot#'!A:AL,7,FALSE)</f>
        <v>15</v>
      </c>
      <c r="AD314" s="1" t="e">
        <f>VLOOKUP(A314,'SegEnds_NonXtal_Prot#'!A:AL,13,FALSE)-VLOOKUP(A314,'SegEnds_NonXtal_Prot#'!A:AL,10,FALSE)</f>
        <v>#VALUE!</v>
      </c>
      <c r="AE314" s="1">
        <f>VLOOKUP(A314,'SegEnds_NonXtal_Prot#'!A:AL,16,FALSE)-VLOOKUP(A314,'SegEnds_NonXtal_Prot#'!A:AL,10,FALSE)</f>
        <v>55</v>
      </c>
      <c r="AF314" s="1" t="e">
        <f>VLOOKUP(A314,'SegEnds_NonXtal_Prot#'!A:AL,22,FALSE)-VLOOKUP(A314,'SegEnds_NonXtal_Prot#'!A:AL,19,FALSE)</f>
        <v>#VALUE!</v>
      </c>
      <c r="AG314" s="1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1">
        <f>VLOOKUP(A314,'SegEnds_NonXtal_Prot#'!A:AL,31,FALSE)-VLOOKUP(A314,'SegEnds_NonXtal_Prot#'!A:AL,28,FALSE)</f>
        <v>52</v>
      </c>
      <c r="AJ314" s="1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x14ac:dyDescent="0.2">
      <c r="A315" s="4" t="s">
        <v>410</v>
      </c>
      <c r="B315" s="4" t="str">
        <f>VLOOKUP(A315,Xtal_Templ!A:B,2,FALSE)</f>
        <v>pacr_human</v>
      </c>
      <c r="C315" s="5">
        <f>VLOOKUP($B315&amp;"__wt",'SegEnds_Xtal_BW#'!$A:$Z,3,FALSE)</f>
        <v>21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22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36</v>
      </c>
      <c r="T315" s="4">
        <v>69</v>
      </c>
      <c r="U315" s="4">
        <v>25</v>
      </c>
      <c r="V315" s="4">
        <f>VLOOKUP($B315&amp;"__wt",'SegEnds_Xtal_BW#'!$A:$Z,22,FALSE)</f>
        <v>54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55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4">
        <f>VLOOKUP(A315,'SegEnds_NonXtal_Prot#'!A:AL,31,FALSE)-VLOOKUP(A315,'SegEnds_NonXtal_Prot#'!A:AL,28,FALSE)</f>
        <v>52</v>
      </c>
      <c r="AJ315" s="4">
        <f>VLOOKUP(A315,'SegEnds_NonXtal_Prot#'!A:AL,34,FALSE)-VLOOKUP(A315,'SegEnds_NonXtal_Prot#'!A:AL,31,FALSE)</f>
        <v>28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412</v>
      </c>
      <c r="B316" s="4" t="str">
        <f>VLOOKUP(A316,Xtal_Templ!A:B,2,FALSE)</f>
        <v>pacr_human</v>
      </c>
      <c r="C316" s="5">
        <f>VLOOKUP($B316&amp;"__wt",'SegEnds_Xtal_BW#'!$A:$Z,3,FALSE)</f>
        <v>21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22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36</v>
      </c>
      <c r="T316" s="4">
        <v>69</v>
      </c>
      <c r="U316" s="4">
        <v>25</v>
      </c>
      <c r="V316" s="4">
        <f>VLOOKUP($B316&amp;"__wt",'SegEnds_Xtal_BW#'!$A:$Z,22,FALSE)</f>
        <v>54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58</v>
      </c>
      <c r="AF316" s="4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4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52</v>
      </c>
      <c r="AJ316" s="4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4" t="str">
        <f>IF(ISERROR(MATCH(A316,'SegEnds_Xtal_Prot#'!B:B, 0)), "NoXtal", "Xtal")</f>
        <v>NoXtal</v>
      </c>
    </row>
    <row r="317" spans="1:38" s="4" customFormat="1" x14ac:dyDescent="0.2">
      <c r="A317" s="4" t="s">
        <v>38</v>
      </c>
      <c r="B317" s="4" t="str">
        <f>VLOOKUP(A317,Xtal_Templ!A:B,2,FALSE)</f>
        <v>crfr1_human</v>
      </c>
      <c r="C317" s="4">
        <f>VLOOKUP($B317&amp;"__wt",'SegEnds_Xtal_BW#'!$A:$Z,3,FALSE)</f>
        <v>19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22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39</v>
      </c>
      <c r="T317" s="4">
        <f>VLOOKUP($B317&amp;"__wt",'SegEnds_Xtal_BW#'!$A:$Z,20,FALSE)</f>
        <v>69</v>
      </c>
      <c r="U317" s="4">
        <f>VLOOKUP($B317&amp;"__wt",'SegEnds_Xtal_BW#'!$A:$Z,21,FALSE)</f>
        <v>25</v>
      </c>
      <c r="V317" s="4">
        <f>VLOOKUP($B317&amp;"__wt",'SegEnds_Xtal_BW#'!$A:$Z,22,FALSE)</f>
        <v>53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51</v>
      </c>
      <c r="AF317" s="4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21</v>
      </c>
      <c r="AH317" s="4">
        <f>VLOOKUP(A317,'SegEnds_NonXtal_Prot#'!A:AL,28,FALSE)-VLOOKUP(A317,'SegEnds_NonXtal_Prot#'!A:AL,22,FALSE)</f>
        <v>43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4" t="str">
        <f>IF(ISERROR(MATCH(A317,'SegEnds_Xtal_Prot#'!B:B, 0)), "NoXtal", "Xtal")</f>
        <v>Xtal</v>
      </c>
    </row>
    <row r="318" spans="1:38" s="45" customFormat="1" x14ac:dyDescent="0.2">
      <c r="A318" s="45" t="s">
        <v>402</v>
      </c>
      <c r="B318" s="45" t="str">
        <f>VLOOKUP(A318,Xtal_Templ!A:B,2,FALSE)</f>
        <v>crfr2_human</v>
      </c>
      <c r="C318" s="46">
        <f>VLOOKUP($B318&amp;"__wt",'SegEnds_Xtal_BW#'!$A:$Z,3,FALSE)</f>
        <v>19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02">
        <v>63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22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41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39</v>
      </c>
      <c r="T318" s="45">
        <f>VLOOKUP($B318&amp;"__wt",'SegEnds_Xtal_BW#'!$A:$Z,20,FALSE)</f>
        <v>71</v>
      </c>
      <c r="U318" s="45">
        <f>VLOOKUP($B318&amp;"__wt",'SegEnds_Xtal_BW#'!$A:$Z,21,FALSE)</f>
        <v>25</v>
      </c>
      <c r="V318" s="45">
        <f>VLOOKUP($B318&amp;"__wt",'SegEnds_Xtal_BW#'!$A:$Z,22,FALSE)</f>
        <v>53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50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21</v>
      </c>
      <c r="AH318" s="45">
        <f>VLOOKUP(A318,'SegEnds_NonXtal_Prot#'!A:AL,28,FALSE)-VLOOKUP(A318,'SegEnds_NonXtal_Prot#'!A:AL,22,FALSE)</f>
        <v>43</v>
      </c>
      <c r="AI318" s="45">
        <f>VLOOKUP(A318,'SegEnds_NonXtal_Prot#'!A:AL,31,FALSE)-VLOOKUP(A318,'SegEnds_NonXtal_Prot#'!A:AL,28,FALSE)</f>
        <v>50</v>
      </c>
      <c r="AJ318" s="45">
        <f>VLOOKUP(A318,'SegEnds_NonXtal_Prot#'!A:AL,34,FALSE)-VLOOKUP(A318,'SegEnds_NonXtal_Prot#'!A:AL,31,FALSE)</f>
        <v>31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1180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28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>
        <f>VLOOKUP(A319,'SegEnds_NonXtal_Prot#'!A:AL,10,FALSE)-VLOOKUP(A319,'SegEnds_NonXtal_Prot#'!A:AL,7,FALSE)</f>
        <v>15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42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32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1171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29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18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100</v>
      </c>
      <c r="AJ320" s="4">
        <f>VLOOKUP(A320,'SegEnds_NonXtal_Prot#'!A:AL,34,FALSE)-VLOOKUP(A320,'SegEnds_NonXtal_Prot#'!A:AL,31,FALSE)</f>
        <v>31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>
        <f>VLOOKUP(A321,'SegEnds_NonXtal_Prot#'!A:AL,10,FALSE)-VLOOKUP(A321,'SegEnds_NonXtal_Prot#'!A:AL,7,FALSE)</f>
        <v>18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66</v>
      </c>
      <c r="AJ322" s="1">
        <f>VLOOKUP(A322,'SegEnds_NonXtal_Prot#'!A:AL,34,FALSE)-VLOOKUP(A322,'SegEnds_NonXtal_Prot#'!A:AL,31,FALSE)</f>
        <v>20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1177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1179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1192</v>
      </c>
      <c r="B326" s="1" t="str">
        <f>VLOOKUP(A326,Xtal_Templ!A:B,2,FALSE)</f>
        <v>crfr2_human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1193</v>
      </c>
      <c r="B327" s="1" t="str">
        <f>VLOOKUP(A327,Xtal_Templ!A:B,2,FALSE)</f>
        <v>crfr2_human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1194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1195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1675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413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414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crfr2_human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1173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1174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1673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50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1172</v>
      </c>
      <c r="B337" s="1" t="str">
        <f>VLOOKUP(A337,Xtal_Templ!A:B,2,FALSE)</f>
        <v>crfr2_human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45</v>
      </c>
      <c r="AI337" s="1">
        <f>VLOOKUP(A337,'SegEnds_NonXtal_Prot#'!A:AL,31,FALSE)-VLOOKUP(A337,'SegEnds_NonXtal_Prot#'!A:AL,28,FALSE)</f>
        <v>85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1183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1170</v>
      </c>
      <c r="B339" s="1" t="str">
        <f>VLOOKUP(A339,Xtal_Templ!A:B,2,FALSE)</f>
        <v>pacr_human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54</v>
      </c>
      <c r="W339" s="1">
        <v>29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26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18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86</v>
      </c>
      <c r="AJ339" s="1">
        <f>VLOOKUP(A339,'SegEnds_NonXtal_Prot#'!A:AL,34,FALSE)-VLOOKUP(A339,'SegEnds_NonXtal_Prot#'!A:AL,31,FALSE)</f>
        <v>31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VLOOKUP(A340,Xtal_Templ!A:B,2,FALSE)</f>
        <v>calrl_human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41</v>
      </c>
      <c r="P340" s="1">
        <f>VLOOKUP($B340&amp;"__wt",'SegEnds_Xtal_BW#'!$A:$Z,16,FALSE)</f>
        <v>67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08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57</v>
      </c>
      <c r="AJ340" s="1">
        <f>VLOOKUP(A340,'SegEnds_NonXtal_Prot#'!A:AL,34,FALSE)-VLOOKUP(A340,'SegEnds_NonXtal_Prot#'!A:AL,31,FALSE)</f>
        <v>23</v>
      </c>
      <c r="AK340" s="1" t="e">
        <f>VLOOKUP(A340,'SegEnds_NonXtal_Prot#'!A:AL,37,FALSE)-VLOOKUP(A340,'SegEnds_NonXtal_Prot#'!A:AL,34,FALSE)</f>
        <v>#VALUE!</v>
      </c>
      <c r="AL340" s="1" t="str">
        <f>IF(ISERROR(MATCH(A340,'SegEnds_Xtal_Prot#'!B:B, 0)), "NoXtal", "Xtal")</f>
        <v>NoXtal</v>
      </c>
    </row>
    <row r="341" spans="1:38" x14ac:dyDescent="0.2">
      <c r="A341" s="1" t="s">
        <v>1184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51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1185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>
        <f>VLOOKUP(A342,'SegEnds_NonXtal_Prot#'!A:AL,10,FALSE)-VLOOKUP(A342,'SegEnds_NonXtal_Prot#'!A:AL,7,FALSE)</f>
        <v>17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53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1181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1189</v>
      </c>
      <c r="B344" s="4" t="str">
        <f>VLOOKUP(A344,Xtal_Templ!A:B,2,FALSE)</f>
        <v>pth1r_human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37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54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47</v>
      </c>
      <c r="AI344" s="4">
        <f>VLOOKUP(A344,'SegEnds_NonXtal_Prot#'!A:AL,31,FALSE)-VLOOKUP(A344,'SegEnds_NonXtal_Prot#'!A:AL,28,FALSE)</f>
        <v>50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1188</v>
      </c>
      <c r="B345" s="1" t="str">
        <f>VLOOKUP(A345,Xtal_Templ!A:B,2,FALSE)</f>
        <v>pth1r_human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37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v>50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33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51</v>
      </c>
      <c r="AI345" s="1">
        <f>VLOOKUP(A345,'SegEnds_NonXtal_Prot#'!A:AL,31,FALSE)-VLOOKUP(A345,'SegEnds_NonXtal_Prot#'!A:AL,28,FALSE)</f>
        <v>54</v>
      </c>
      <c r="AJ345" s="1">
        <f>VLOOKUP(A345,'SegEnds_NonXtal_Prot#'!A:AL,34,FALSE)-VLOOKUP(A345,'SegEnds_NonXtal_Prot#'!A:AL,31,FALSE)</f>
        <v>26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1407</v>
      </c>
      <c r="B346" s="1" t="str">
        <f>VLOOKUP(A346,Xtal_Templ!A:B,2,FALSE)</f>
        <v>crfr2_human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>
        <f>VLOOKUP(A346,'SegEnds_NonXtal_Prot#'!A:AL,10,FALSE)-VLOOKUP(A346,'SegEnds_NonXtal_Prot#'!A:AL,7,FALSE)</f>
        <v>16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53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1187</v>
      </c>
      <c r="B347" s="4" t="str">
        <f>VLOOKUP(A347,Xtal_Templ!A:B,2,FALSE)</f>
        <v>pacr_human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54</v>
      </c>
      <c r="W347" s="4">
        <v>31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54</v>
      </c>
      <c r="AI347" s="4">
        <f>VLOOKUP(A347,'SegEnds_NonXtal_Prot#'!A:AL,31,FALSE)-VLOOKUP(A347,'SegEnds_NonXtal_Prot#'!A:AL,28,FALSE)</f>
        <v>51</v>
      </c>
      <c r="AJ347" s="4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1674</v>
      </c>
      <c r="B348" s="1" t="str">
        <f>VLOOKUP(A348,Xtal_Templ!A:B,2,FALSE)</f>
        <v>crfr1_human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40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20</v>
      </c>
      <c r="AH348" s="1">
        <f>VLOOKUP(A348,'SegEnds_NonXtal_Prot#'!A:AL,28,FALSE)-VLOOKUP(A348,'SegEnds_NonXtal_Prot#'!A:AL,22,FALSE)</f>
        <v>54</v>
      </c>
      <c r="AI348" s="1">
        <f>VLOOKUP(A348,'SegEnds_NonXtal_Prot#'!A:AL,31,FALSE)-VLOOKUP(A348,'SegEnds_NonXtal_Prot#'!A:AL,28,FALSE)</f>
        <v>49</v>
      </c>
      <c r="AJ348" s="1">
        <f>VLOOKUP(A348,'SegEnds_NonXtal_Prot#'!A:AL,34,FALSE)-VLOOKUP(A348,'SegEnds_NonXtal_Prot#'!A:AL,31,FALSE)</f>
        <v>28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4" t="s">
        <v>1186</v>
      </c>
      <c r="B349" s="4" t="str">
        <f>VLOOKUP(A349,Xtal_Templ!A:B,2,FALSE)</f>
        <v>glr_human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115">
        <v>28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35</v>
      </c>
      <c r="AC349" s="4">
        <f>VLOOKUP(A349,'SegEnds_NonXtal_Prot#'!A:AL,10,FALSE)-VLOOKUP(A349,'SegEnds_NonXtal_Prot#'!A:AL,7,FALSE)</f>
        <v>21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57</v>
      </c>
      <c r="AI349" s="4">
        <f>VLOOKUP(A349,'SegEnds_NonXtal_Prot#'!A:AL,31,FALSE)-VLOOKUP(A349,'SegEnds_NonXtal_Prot#'!A:AL,28,FALSE)</f>
        <v>44</v>
      </c>
      <c r="AJ349" s="4">
        <f>VLOOKUP(A349,'SegEnds_NonXtal_Prot#'!A:AL,34,FALSE)-VLOOKUP(A349,'SegEnds_NonXtal_Prot#'!A:AL,31,FALSE)</f>
        <v>30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1190</v>
      </c>
      <c r="B350" s="1" t="str">
        <f>VLOOKUP(A350,Xtal_Templ!A:B,2,FALSE)</f>
        <v>pth1r_human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37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28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48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60</v>
      </c>
      <c r="AI350" s="1">
        <f>VLOOKUP(A350,'SegEnds_NonXtal_Prot#'!A:AL,31,FALSE)-VLOOKUP(A350,'SegEnds_NonXtal_Prot#'!A:AL,28,FALSE)</f>
        <v>49</v>
      </c>
      <c r="AJ350" s="1">
        <f>VLOOKUP(A350,'SegEnds_NonXtal_Prot#'!A:AL,34,FALSE)-VLOOKUP(A350,'SegEnds_NonXtal_Prot#'!A:AL,31,FALSE)</f>
        <v>28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1191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26</v>
      </c>
      <c r="AH351" s="1">
        <f>VLOOKUP(A351,'SegEnds_NonXtal_Prot#'!A:AL,28,FALSE)-VLOOKUP(A351,'SegEnds_NonXtal_Prot#'!A:AL,22,FALSE)</f>
        <v>60</v>
      </c>
      <c r="AI351" s="1">
        <f>VLOOKUP(A351,'SegEnds_NonXtal_Prot#'!A:AL,31,FALSE)-VLOOKUP(A351,'SegEnds_NonXtal_Prot#'!A:AL,28,FALSE)</f>
        <v>51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111</v>
      </c>
      <c r="B352" s="42" t="str">
        <f>VLOOKUP(A352,Xtal_Templ!A:B,2,FALSE)</f>
        <v>grm1_human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22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42">
        <f>VLOOKUP(A352,'SegEnds_NonXtal_Prot#'!A:AL,10,FALSE)-VLOOKUP(A352,'SegEnds_NonXtal_Prot#'!A:AL,7,FALSE)</f>
        <v>19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40</v>
      </c>
      <c r="AI352" s="42">
        <f>VLOOKUP(A352,'SegEnds_NonXtal_Prot#'!A:AL,31,FALSE)-VLOOKUP(A352,'SegEnds_NonXtal_Prot#'!A:AL,28,FALSE)</f>
        <v>39</v>
      </c>
      <c r="AJ352" s="42">
        <f>VLOOKUP(A352,'SegEnds_NonXtal_Prot#'!A:AL,34,FALSE)-VLOOKUP(A352,'SegEnds_NonXtal_Prot#'!A:AL,31,FALSE)</f>
        <v>35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1" t="s">
        <v>121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1">
        <f>VLOOKUP(A354,'SegEnds_NonXtal_Prot#'!A:AL,10,FALSE)-VLOOKUP(A354,'SegEnds_NonXtal_Prot#'!A:AL,7,FALSE)</f>
        <v>19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 t="e">
        <f>VLOOKUP(A354,'SegEnds_NonXtal_Prot#'!A:AL,28,FALSE)-VLOOKUP(A354,'SegEnds_NonXtal_Prot#'!A:AL,25,FALSE)</f>
        <v>#VALUE!</v>
      </c>
      <c r="AH354" s="1">
        <f>VLOOKUP(A354,'SegEnds_NonXtal_Prot#'!A:AL,28,FALSE)-VLOOKUP(A354,'SegEnds_NonXtal_Prot#'!A:AL,22,FALSE)</f>
        <v>45</v>
      </c>
      <c r="AI354" s="1">
        <f>VLOOKUP(A354,'SegEnds_NonXtal_Prot#'!A:AL,31,FALSE)-VLOOKUP(A354,'SegEnds_NonXtal_Prot#'!A:AL,28,FALSE)</f>
        <v>39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21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105</v>
      </c>
      <c r="B358" s="4" t="str">
        <f>VLOOKUP(A358,Xtal_Templ!A:B,2,FALSE)</f>
        <v>grm5_human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21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106</v>
      </c>
      <c r="B369" s="4" t="str">
        <f>VLOOKUP(A369,Xtal_Templ!A:B,2,FALSE)</f>
        <v>grm5_human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21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4">
        <f>VLOOKUP(A369,'SegEnds_NonXtal_Prot#'!A:AL,10,FALSE)-VLOOKUP(A369,'SegEnds_NonXtal_Prot#'!A:AL,7,FALSE)</f>
        <v>15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4">
        <f>VLOOKUP(A369,'SegEnds_NonXtal_Prot#'!A:AL,31,FALSE)-VLOOKUP(A369,'SegEnds_NonXtal_Prot#'!A:AL,28,FALSE)</f>
        <v>38</v>
      </c>
      <c r="AJ369" s="4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107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51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19</v>
      </c>
      <c r="AH370" s="1">
        <f>VLOOKUP(A370,'SegEnds_NonXtal_Prot#'!A:AL,28,FALSE)-VLOOKUP(A370,'SegEnds_NonXtal_Prot#'!A:AL,22,FALSE)</f>
        <v>62</v>
      </c>
      <c r="AI370" s="1">
        <f>VLOOKUP(A370,'SegEnds_NonXtal_Prot#'!A:AL,31,FALSE)-VLOOKUP(A370,'SegEnds_NonXtal_Prot#'!A:AL,28,FALSE)</f>
        <v>38</v>
      </c>
      <c r="AJ370" s="1">
        <f>VLOOKUP(A370,'SegEnds_NonXtal_Prot#'!A:AL,34,FALSE)-VLOOKUP(A370,'SegEnds_NonXtal_Prot#'!A:AL,31,FALSE)</f>
        <v>31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108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50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19</v>
      </c>
      <c r="AH371" s="1">
        <f>VLOOKUP(A371,'SegEnds_NonXtal_Prot#'!A:AL,28,FALSE)-VLOOKUP(A371,'SegEnds_NonXtal_Prot#'!A:AL,22,FALSE)</f>
        <v>62</v>
      </c>
      <c r="AI371" s="1">
        <f>VLOOKUP(A371,'SegEnds_NonXtal_Prot#'!A:AL,31,FALSE)-VLOOKUP(A371,'SegEnds_NonXtal_Prot#'!A:AL,28,FALSE)</f>
        <v>39</v>
      </c>
      <c r="AJ371" s="1">
        <f>VLOOKUP(A371,'SegEnds_NonXtal_Prot#'!A:AL,34,FALSE)-VLOOKUP(A371,'SegEnds_NonXtal_Prot#'!A:AL,31,FALSE)</f>
        <v>30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109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4">
        <f>VLOOKUP(A372,'SegEnds_NonXtal_Prot#'!A:AL,10,FALSE)-VLOOKUP(A372,'SegEnds_NonXtal_Prot#'!A:AL,7,FALSE)</f>
        <v>15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16</v>
      </c>
      <c r="AH372" s="1">
        <f>VLOOKUP(A372,'SegEnds_NonXtal_Prot#'!A:AL,28,FALSE)-VLOOKUP(A372,'SegEnds_NonXtal_Prot#'!A:AL,22,FALSE)</f>
        <v>65</v>
      </c>
      <c r="AI372" s="4">
        <f>VLOOKUP(A372,'SegEnds_NonXtal_Prot#'!A:AL,31,FALSE)-VLOOKUP(A372,'SegEnds_NonXtal_Prot#'!A:AL,28,FALSE)</f>
        <v>37</v>
      </c>
      <c r="AJ372" s="4">
        <f>VLOOKUP(A372,'SegEnds_NonXtal_Prot#'!A:AL,34,FALSE)-VLOOKUP(A372,'SegEnds_NonXtal_Prot#'!A:AL,31,FALSE)</f>
        <v>33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1" t="s">
        <v>110</v>
      </c>
      <c r="B373" s="1" t="str">
        <f>VLOOKUP(A373,Xtal_Templ!A:B,2,FALSE)</f>
        <v>grm1_human</v>
      </c>
      <c r="C373" s="5">
        <f>VLOOKUP($B373&amp;"__wt",'SegEnds_Xtal_BW#'!$A:$Z,3,FALSE)</f>
        <v>34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53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54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61</v>
      </c>
      <c r="U373" s="1">
        <f>VLOOKUP($B373&amp;"__wt",'SegEnds_Xtal_BW#'!$A:$Z,21,FALSE)</f>
        <v>33</v>
      </c>
      <c r="V373" s="1">
        <f>VLOOKUP($B373&amp;"__wt",'SegEnds_Xtal_BW#'!$A:$Z,22,FALSE)</f>
        <v>57</v>
      </c>
      <c r="W373" s="1">
        <f>VLOOKUP($B373&amp;"__wt",'SegEnds_Xtal_BW#'!$A:$Z,23,FALSE)</f>
        <v>33</v>
      </c>
      <c r="X373" s="1">
        <f>VLOOKUP($B373&amp;"__wt",'SegEnds_Xtal_BW#'!$A:$Z,24,FALSE)</f>
        <v>64</v>
      </c>
      <c r="Y373" s="1">
        <f>VLOOKUP($B373&amp;"__wt",'SegEnds_Xtal_BW#'!$A:$Z,25,FALSE)</f>
        <v>46</v>
      </c>
      <c r="Z373" s="1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1">
        <f>VLOOKUP(A373,'SegEnds_NonXtal_Prot#'!A:AL,10,FALSE)-VLOOKUP(A373,'SegEnds_NonXtal_Prot#'!A:AL,7,FALSE)</f>
        <v>15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16</v>
      </c>
      <c r="AH373" s="1">
        <f>VLOOKUP(A373,'SegEnds_NonXtal_Prot#'!A:AL,28,FALSE)-VLOOKUP(A373,'SegEnds_NonXtal_Prot#'!A:AL,22,FALSE)</f>
        <v>65</v>
      </c>
      <c r="AI373" s="1">
        <f>VLOOKUP(A373,'SegEnds_NonXtal_Prot#'!A:AL,31,FALSE)-VLOOKUP(A373,'SegEnds_NonXtal_Prot#'!A:AL,28,FALSE)</f>
        <v>37</v>
      </c>
      <c r="AJ373" s="1">
        <f>VLOOKUP(A373,'SegEnds_NonXtal_Prot#'!A:AL,34,FALSE)-VLOOKUP(A373,'SegEnds_NonXtal_Prot#'!A:AL,31,FALSE)</f>
        <v>33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440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62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66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68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444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36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445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64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447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448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66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28</v>
      </c>
      <c r="V382" s="108"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26</v>
      </c>
      <c r="AC382" s="1">
        <f>VLOOKUP(A382,'SegEnds_NonXtal_Prot#'!A:AL,10,FALSE)-VLOOKUP(A382,'SegEnds_NonXtal_Prot#'!A:AL,7,FALSE)</f>
        <v>12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103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49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1" t="s">
        <v>449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66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28</v>
      </c>
      <c r="V383" s="108"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26</v>
      </c>
      <c r="AC383" s="1">
        <f>VLOOKUP(A383,'SegEnds_NonXtal_Prot#'!A:AL,10,FALSE)-VLOOKUP(A383,'SegEnds_NonXtal_Prot#'!A:AL,7,FALSE)</f>
        <v>12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66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55</v>
      </c>
      <c r="AJ383" s="1">
        <f>VLOOKUP(A383,'SegEnds_NonXtal_Prot#'!A:AL,34,FALSE)-VLOOKUP(A383,'SegEnds_NonXtal_Prot#'!A:AL,31,FALSE)</f>
        <v>58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121" t="s">
        <v>1489</v>
      </c>
      <c r="B384" s="1" t="str">
        <f>VLOOKUP(A384,Xtal_Templ!A:B,2,FALSE)</f>
        <v>q98sw5_xenla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40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59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38</v>
      </c>
      <c r="P384" s="1">
        <f>VLOOKUP($B384&amp;"__wt",'SegEnds_Xtal_BW#'!$A:$Z,16,FALSE)</f>
        <v>63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24</v>
      </c>
      <c r="V384" s="1">
        <f>VLOOKUP($B384&amp;"__wt",'SegEnds_Xtal_BW#'!$A:$Z,22,FALSE)</f>
        <v>81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33</v>
      </c>
      <c r="B385" s="1" t="str">
        <f>VLOOKUP(A385,Xtal_Templ!A:B,2,FALSE)</f>
        <v>smo_human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63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56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20</v>
      </c>
      <c r="V385" s="1">
        <f>VLOOKUP($B385&amp;"__wt",'SegEnds_Xtal_BW#'!$A:$Z,22,FALSE)</f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27</v>
      </c>
      <c r="AC385" s="1">
        <f>VLOOKUP(A385,'SegEnds_NonXtal_Prot#'!A:AL,10,FALSE)-VLOOKUP(A385,'SegEnds_NonXtal_Prot#'!A:AL,7,FALSE)</f>
        <v>13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67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57</v>
      </c>
      <c r="AJ385" s="1">
        <f>VLOOKUP(A385,'SegEnds_NonXtal_Prot#'!A:AL,34,FALSE)-VLOOKUP(A385,'SegEnds_NonXtal_Prot#'!A:AL,31,FALSE)</f>
        <v>62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Xtal</v>
      </c>
    </row>
    <row r="386" spans="1:38" x14ac:dyDescent="0.2">
      <c r="A386" s="1" t="s">
        <v>1588</v>
      </c>
      <c r="B386" s="1" t="str">
        <f>VLOOKUP(A386,Xtal_Templ!A:B,2,FALSE)</f>
        <v>smo_mouse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41</v>
      </c>
      <c r="H386" s="12">
        <f>VLOOKUP($B386&amp;"__wt",'SegEnds_Xtal_BW#'!$A:$Z,8,FALSE)</f>
        <v>63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20</v>
      </c>
      <c r="V386" s="1">
        <f>VLOOKUP($B386&amp;"__wt",'SegEnds_Xtal_BW#'!$A:$Z,22,FALSE)</f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27</v>
      </c>
      <c r="AC386" s="1">
        <f>VLOOKUP(A386,'SegEnds_NonXtal_Prot#'!A:AL,10,FALSE)-VLOOKUP(A386,'SegEnds_NonXtal_Prot#'!A:AL,7,FALSE)</f>
        <v>13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67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62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Xtal</v>
      </c>
    </row>
    <row r="387" spans="1:38" x14ac:dyDescent="0.2">
      <c r="A387" s="1" t="s">
        <v>478</v>
      </c>
      <c r="B387" s="1" t="str">
        <f>VLOOKUP(A387,Xtal_Templ!A:B,2,FALSE)</f>
        <v>pe2r4_human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08">
        <v>61</v>
      </c>
      <c r="Q387" s="1" t="s">
        <v>23</v>
      </c>
      <c r="R387" s="1" t="s">
        <v>23</v>
      </c>
      <c r="S387" s="108">
        <v>40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32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45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25</v>
      </c>
      <c r="AI387" s="1">
        <f>VLOOKUP(A387,'SegEnds_NonXtal_Prot#'!A:AL,31,FALSE)-VLOOKUP(A387,'SegEnds_NonXtal_Prot#'!A:AL,28,FALSE)</f>
        <v>76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24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5ht2c_human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47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29</v>
      </c>
      <c r="AI388" s="1">
        <f>VLOOKUP(A388,'SegEnds_NonXtal_Prot#'!A:AL,31,FALSE)-VLOOKUP(A388,'SegEnds_NonXtal_Prot#'!A:AL,28,FALSE)</f>
        <v>67</v>
      </c>
      <c r="AJ388" s="1">
        <f>VLOOKUP(A388,'SegEnds_NonXtal_Prot#'!A:AL,34,FALSE)-VLOOKUP(A388,'SegEnds_NonXtal_Prot#'!A:AL,31,FALSE)</f>
        <v>45</v>
      </c>
      <c r="AK388" s="1">
        <f>VLOOKUP(A388,'SegEnds_NonXtal_Prot#'!A:AL,37,FALSE)-VLOOKUP(A388,'SegEnds_NonXtal_Prot#'!A:AL,34,FALSE)</f>
        <v>18</v>
      </c>
      <c r="AL388" s="1" t="str">
        <f>IF(ISERROR(MATCH(A388,'SegEnds_Xtal_Prot#'!B:B, 0)), "NoXtal", "Xtal")</f>
        <v>NoXtal</v>
      </c>
    </row>
    <row r="389" spans="1:38" x14ac:dyDescent="0.2">
      <c r="A389" s="4" t="s">
        <v>479</v>
      </c>
      <c r="B389" s="4" t="str">
        <f>VLOOKUP(A389,Xtal_Templ!A:B,2,FALSE)</f>
        <v>aa2ar_human</v>
      </c>
      <c r="C389" s="5">
        <f>VLOOKUP($B389&amp;"__wt",'SegEnds_Xtal_BW#'!$A:$Z,3,FALSE)</f>
        <v>27</v>
      </c>
      <c r="D389" s="4">
        <v>60</v>
      </c>
      <c r="E389" s="4" t="s">
        <v>23</v>
      </c>
      <c r="F389" s="4" t="s">
        <v>23</v>
      </c>
      <c r="G389" s="4">
        <v>39</v>
      </c>
      <c r="H389" s="11">
        <v>63</v>
      </c>
      <c r="I389" s="4" t="s">
        <v>23</v>
      </c>
      <c r="J389" s="4" t="s">
        <v>23</v>
      </c>
      <c r="K389" s="11">
        <v>23</v>
      </c>
      <c r="L389" s="4">
        <v>56</v>
      </c>
      <c r="M389" s="4" t="s">
        <v>23</v>
      </c>
      <c r="N389" s="11" t="s">
        <v>23</v>
      </c>
      <c r="O389" s="88">
        <v>40</v>
      </c>
      <c r="P389" s="4">
        <v>64</v>
      </c>
      <c r="Q389" s="4" t="s">
        <v>23</v>
      </c>
      <c r="R389" s="4" t="s">
        <v>23</v>
      </c>
      <c r="S389" s="4">
        <v>39</v>
      </c>
      <c r="T389" s="4">
        <v>61</v>
      </c>
      <c r="U389" s="4">
        <v>29</v>
      </c>
      <c r="V389" s="4">
        <v>53</v>
      </c>
      <c r="W389" s="4">
        <v>35</v>
      </c>
      <c r="X389" s="4">
        <v>56</v>
      </c>
      <c r="Y389" s="4">
        <v>47</v>
      </c>
      <c r="Z389" s="4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36</v>
      </c>
      <c r="AC389" s="4" t="e">
        <f>VLOOKUP(A389,'SegEnds_NonXtal_Prot#'!A:AL,10,FALSE)-VLOOKUP(A389,'SegEnds_NonXtal_Prot#'!A:AL,7,FALSE)</f>
        <v>#VALUE!</v>
      </c>
      <c r="AD389" s="4" t="e">
        <f>VLOOKUP(A389,'SegEnds_NonXtal_Prot#'!A:AL,13,FALSE)-VLOOKUP(A389,'SegEnds_NonXtal_Prot#'!A:AL,10,FALSE)</f>
        <v>#VALUE!</v>
      </c>
      <c r="AE389" s="4">
        <f>VLOOKUP(A389,'SegEnds_NonXtal_Prot#'!A:AL,16,FALSE)-VLOOKUP(A389,'SegEnds_NonXtal_Prot#'!A:AL,10,FALSE)</f>
        <v>63</v>
      </c>
      <c r="AF389" s="1" t="e">
        <f>VLOOKUP(A389,'SegEnds_NonXtal_Prot#'!A:AL,22,FALSE)-VLOOKUP(A389,'SegEnds_NonXtal_Prot#'!A:AL,19,FALSE)</f>
        <v>#VALUE!</v>
      </c>
      <c r="AG389" s="4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39</v>
      </c>
      <c r="AI389" s="4">
        <f>VLOOKUP(A389,'SegEnds_NonXtal_Prot#'!A:AL,31,FALSE)-VLOOKUP(A389,'SegEnds_NonXtal_Prot#'!A:AL,28,FALSE)</f>
        <v>58</v>
      </c>
      <c r="AJ389" s="4">
        <f>VLOOKUP(A389,'SegEnds_NonXtal_Prot#'!A:AL,34,FALSE)-VLOOKUP(A389,'SegEnds_NonXtal_Prot#'!A:AL,31,FALSE)</f>
        <v>49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476</v>
      </c>
      <c r="B390" s="1" t="str">
        <f>VLOOKUP(A390,Xtal_Templ!A:B,2,FALSE)</f>
        <v>ste2_yeast</v>
      </c>
      <c r="C390" s="5" t="e">
        <f>VLOOKUP($B390&amp;"__wt",'SegEnds_Xtal_BW#'!$A:$Z,3,FALSE)</f>
        <v>#N/A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81</v>
      </c>
      <c r="AI390" s="1">
        <f>VLOOKUP(A390,'SegEnds_NonXtal_Prot#'!A:AL,31,FALSE)-VLOOKUP(A390,'SegEnds_NonXtal_Prot#'!A:AL,28,FALSE)</f>
        <v>37</v>
      </c>
      <c r="AJ390" s="1">
        <f>VLOOKUP(A390,'SegEnds_NonXtal_Prot#'!A:AL,34,FALSE)-VLOOKUP(A390,'SegEnds_NonXtal_Prot#'!A:AL,31,FALSE)</f>
        <v>44</v>
      </c>
      <c r="AK390" s="1">
        <f>VLOOKUP(A390,'SegEnds_NonXtal_Prot#'!A:AL,37,FALSE)-VLOOKUP(A390,'SegEnds_NonXtal_Prot#'!A:AL,34,FALSE)</f>
        <v>11</v>
      </c>
      <c r="AL390" s="1" t="str">
        <f>IF(ISERROR(MATCH(A390,'SegEnds_Xtal_Prot#'!B:B, 0)), "NoXtal", "Xtal")</f>
        <v>NoXtal</v>
      </c>
    </row>
    <row r="391" spans="1:38" x14ac:dyDescent="0.2">
      <c r="A391" s="1" t="s">
        <v>475</v>
      </c>
      <c r="B391" s="1" t="str">
        <f>VLOOKUP(A391,Xtal_Templ!A:B,2,FALSE)</f>
        <v>fpr2_human</v>
      </c>
      <c r="C391" s="5">
        <f>VLOOKUP($B391&amp;"__wt",'SegEnds_Xtal_BW#'!$A:$Z,3,FALSE)</f>
        <v>25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f>VLOOKUP($B391&amp;"__wt",'SegEnds_Xtal_BW#'!$A:$Z,16,FALSE)</f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18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81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83</v>
      </c>
      <c r="AI391" s="1">
        <f>VLOOKUP(A391,'SegEnds_NonXtal_Prot#'!A:AL,31,FALSE)-VLOOKUP(A391,'SegEnds_NonXtal_Prot#'!A:AL,28,FALSE)</f>
        <v>79</v>
      </c>
      <c r="AJ391" s="1">
        <f>VLOOKUP(A391,'SegEnds_NonXtal_Prot#'!A:AL,34,FALSE)-VLOOKUP(A391,'SegEnds_NonXtal_Prot#'!A:AL,31,FALSE)</f>
        <v>33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471</v>
      </c>
      <c r="B392" s="1" t="str">
        <f>VLOOKUP(A392,Xtal_Templ!A:B,2,FALSE)</f>
        <v>hrh1_human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87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48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48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450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58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30</v>
      </c>
      <c r="AC393" s="1">
        <f>VLOOKUP(A393,'SegEnds_NonXtal_Prot#'!A:AL,10,FALSE)-VLOOKUP(A393,'SegEnds_NonXtal_Prot#'!A:AL,7,FALSE)</f>
        <v>15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50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454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455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463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923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56</v>
      </c>
      <c r="AJ399" s="1">
        <f>VLOOKUP(A399,'SegEnds_NonXtal_Prot#'!A:AL,34,FALSE)-VLOOKUP(A399,'SegEnds_NonXtal_Prot#'!A:AL,31,FALSE)</f>
        <v>33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464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465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VLOOKUP(A402,Xtal_Templ!A:B,2,FALSE)</f>
        <v>5ht1b_human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53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451</v>
      </c>
      <c r="B403" s="1" t="str">
        <f>VLOOKUP(A403,Xtal_Templ!A:B,2,FALSE)</f>
        <v>5ht2a_human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54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452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1">
        <f>VLOOKUP(A404,'SegEnds_NonXtal_Prot#'!A:AL,31,FALSE)-VLOOKUP(A404,'SegEnds_NonXtal_Prot#'!A:AL,28,FALSE)</f>
        <v>52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468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474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453</v>
      </c>
      <c r="B407" s="1" t="str">
        <f>VLOOKUP(A407,Xtal_Templ!A:B,2,FALSE)</f>
        <v>pd2r2_human</v>
      </c>
      <c r="C407" s="5">
        <v>32</v>
      </c>
      <c r="D407" s="1">
        <v>62</v>
      </c>
      <c r="E407" s="1" t="str">
        <f>VLOOKUP($B407&amp;"__wt",'SegEnds_Xtal_BW#'!$A:$Z,5,FALSE)</f>
        <v>-</v>
      </c>
      <c r="F407" s="1" t="str">
        <f>VLOOKUP($B407&amp;"__wt",'SegEnds_Xtal_BW#'!$A:$Z,6,FALSE)</f>
        <v>-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47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50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459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461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56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462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469</v>
      </c>
      <c r="B411" s="1" t="str">
        <f>VLOOKUP(A411,Xtal_Templ!A:B,2,FALSE)</f>
        <v>cxcr4_human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460</v>
      </c>
      <c r="B412" s="1" t="str">
        <f>VLOOKUP(A412,Xtal_Templ!A:B,2,FALSE)</f>
        <v>5ht2a_human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67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472</v>
      </c>
      <c r="B413" s="1" t="str">
        <f>VLOOKUP(A413,Xtal_Templ!A:B,2,FALSE)</f>
        <v>drd2_human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57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473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18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466</v>
      </c>
      <c r="B415" s="1" t="str">
        <f>VLOOKUP(A415,Xtal_Templ!A:B,2,FALSE)</f>
        <v>oprk_human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58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35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458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53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59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xmlns:xlrd2="http://schemas.microsoft.com/office/spreadsheetml/2017/richdata2" ref="A2:AL416">
    <sortCondition ref="AA2:AA416"/>
    <sortCondition ref="AH2:AH416"/>
    <sortCondition ref="A2:A41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BH418"/>
  <sheetViews>
    <sheetView zoomScale="120" zoomScaleNormal="120" zoomScalePageLayoutView="120" workbookViewId="0">
      <pane ySplit="1" topLeftCell="A72" activePane="bottomLeft" state="frozenSplit"/>
      <selection pane="bottomLeft" activeCell="A101" sqref="A101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1197</v>
      </c>
      <c r="C1" s="8" t="s">
        <v>1054</v>
      </c>
      <c r="D1" s="41" t="s">
        <v>1075</v>
      </c>
      <c r="E1" s="8" t="s">
        <v>1055</v>
      </c>
      <c r="F1" s="41" t="s">
        <v>1071</v>
      </c>
      <c r="G1" s="41" t="s">
        <v>1076</v>
      </c>
      <c r="H1" s="41" t="s">
        <v>1072</v>
      </c>
      <c r="I1" s="41" t="s">
        <v>1056</v>
      </c>
      <c r="J1" s="41" t="s">
        <v>1077</v>
      </c>
      <c r="K1" s="8" t="s">
        <v>1057</v>
      </c>
      <c r="L1" s="8" t="s">
        <v>1073</v>
      </c>
      <c r="M1" s="41" t="s">
        <v>1078</v>
      </c>
      <c r="N1" s="8" t="s">
        <v>1074</v>
      </c>
      <c r="O1" s="8" t="s">
        <v>1058</v>
      </c>
      <c r="P1" s="41" t="s">
        <v>1079</v>
      </c>
      <c r="Q1" s="8" t="s">
        <v>1059</v>
      </c>
      <c r="R1" s="8" t="s">
        <v>1086</v>
      </c>
      <c r="S1" s="41" t="s">
        <v>1085</v>
      </c>
      <c r="T1" s="86" t="s">
        <v>1087</v>
      </c>
      <c r="U1" s="99" t="s">
        <v>1060</v>
      </c>
      <c r="V1" s="41" t="s">
        <v>1080</v>
      </c>
      <c r="W1" s="8" t="s">
        <v>1061</v>
      </c>
      <c r="X1" s="8" t="s">
        <v>1089</v>
      </c>
      <c r="Y1" s="41" t="s">
        <v>1088</v>
      </c>
      <c r="Z1" s="8" t="s">
        <v>1090</v>
      </c>
      <c r="AA1" s="8" t="s">
        <v>1062</v>
      </c>
      <c r="AB1" s="41" t="s">
        <v>1081</v>
      </c>
      <c r="AC1" s="8" t="s">
        <v>1063</v>
      </c>
      <c r="AD1" s="8" t="s">
        <v>1064</v>
      </c>
      <c r="AE1" s="41" t="s">
        <v>1082</v>
      </c>
      <c r="AF1" s="8" t="s">
        <v>1065</v>
      </c>
      <c r="AG1" s="8" t="s">
        <v>1066</v>
      </c>
      <c r="AH1" s="41" t="s">
        <v>1083</v>
      </c>
      <c r="AI1" s="8" t="s">
        <v>1067</v>
      </c>
      <c r="AJ1" s="8" t="s">
        <v>1068</v>
      </c>
      <c r="AK1" s="41" t="s">
        <v>1084</v>
      </c>
      <c r="AL1" s="8" t="s">
        <v>1069</v>
      </c>
      <c r="AM1" s="26" t="s">
        <v>99</v>
      </c>
      <c r="AN1" s="26" t="s">
        <v>1160</v>
      </c>
      <c r="AO1" s="8" t="s">
        <v>1220</v>
      </c>
      <c r="AP1" s="8" t="s">
        <v>1222</v>
      </c>
      <c r="AQ1" s="8" t="s">
        <v>1223</v>
      </c>
      <c r="AR1" s="8" t="s">
        <v>1224</v>
      </c>
      <c r="AS1" s="8" t="s">
        <v>1225</v>
      </c>
      <c r="AT1" s="8" t="s">
        <v>1226</v>
      </c>
      <c r="AU1" s="8" t="s">
        <v>1227</v>
      </c>
      <c r="AV1" s="8" t="s">
        <v>1228</v>
      </c>
      <c r="AW1" s="8" t="s">
        <v>1229</v>
      </c>
      <c r="AX1" s="8" t="s">
        <v>1230</v>
      </c>
      <c r="AY1" s="8" t="s">
        <v>1231</v>
      </c>
      <c r="AZ1" s="8" t="s">
        <v>1232</v>
      </c>
      <c r="BA1" s="8" t="s">
        <v>1299</v>
      </c>
      <c r="BB1" s="26" t="s">
        <v>1234</v>
      </c>
      <c r="BC1" s="99" t="s">
        <v>1269</v>
      </c>
      <c r="BD1" s="8" t="s">
        <v>1234</v>
      </c>
      <c r="BE1" s="8" t="s">
        <v>1236</v>
      </c>
      <c r="BF1" s="8" t="s">
        <v>1233</v>
      </c>
      <c r="BG1" s="8" t="s">
        <v>1300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1168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1169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1434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1445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913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913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903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905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1165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1676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1166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197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198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199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200</v>
      </c>
      <c r="B106" s="3" t="str">
        <f>LOWER(VLOOKUP(A106,Xtal_Templ!A:B,2,FALSE))</f>
        <v>fpr2_human</v>
      </c>
      <c r="C106" s="3">
        <f>VLOOKUP($A106,'SegEnds_NonXtal_BW#'!$A:$Z,3,FALSE)+D106-50</f>
        <v>19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55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186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316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8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34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201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232</v>
      </c>
      <c r="AD107" s="3">
        <f>IF(ISERROR(VLOOKUP($A107,'SegEnds_NonXtal_BW#'!$A:$Z,21,FALSE)+VLOOKUP($A107,A:AL,31,FALSE)-50),"-",(VLOOKUP($A107,'SegEnds_NonXtal_BW#'!$A:$Z,21,FALSE)+VLOOKUP($A107,A:AL,31,FALSE)-50))</f>
        <v>237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277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317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10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202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36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203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204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205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206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207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208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211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212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216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219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223</v>
      </c>
      <c r="B119" s="3" t="str">
        <f>LOWER(VLOOKUP(A119,Xtal_Templ!A:B,2,FALSE))</f>
        <v>fpr2_human</v>
      </c>
      <c r="C119" s="3">
        <f>VLOOKUP($A119,'SegEnds_NonXtal_BW#'!$A:$Z,3,FALSE)+D119-50</f>
        <v>22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58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224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226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227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228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229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232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233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235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236</v>
      </c>
      <c r="B128" s="3" t="str">
        <f>LOWER(VLOOKUP(A128,Xtal_Templ!A:B,2,FALSE))</f>
        <v>fpr2_human</v>
      </c>
      <c r="C128" s="3">
        <f>VLOOKUP($A128,'SegEnds_NonXtal_BW#'!$A:$Z,3,FALSE)+D128-50</f>
        <v>31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67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100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191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319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2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36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237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238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239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240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242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243</v>
      </c>
      <c r="B134" s="3" t="str">
        <f>LOWER(VLOOKUP(A134,Xtal_Templ!A:B,2,FALSE))</f>
        <v>gpr52_human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166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328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15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21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245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102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2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246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248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249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250</v>
      </c>
      <c r="B139" s="3" t="str">
        <f>LOWER(VLOOKUP(A139,Xtal_Templ!A:B,2,FALSE))</f>
        <v>fpr2_human</v>
      </c>
      <c r="C139" s="3">
        <f>VLOOKUP($A139,'SegEnds_NonXtal_BW#'!$A:$Z,3,FALSE)+D139-50</f>
        <v>36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72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331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8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25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251</v>
      </c>
      <c r="B140" s="3" t="str">
        <f>LOWER(VLOOKUP(A140,Xtal_Templ!A:B,2,FALSE))</f>
        <v>fpr2_human</v>
      </c>
      <c r="C140" s="3">
        <f>VLOOKUP($A140,'SegEnds_NonXtal_BW#'!$A:$Z,3,FALSE)+D140-50</f>
        <v>22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58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91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190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314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2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9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19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252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253</v>
      </c>
      <c r="B142" s="3" t="str">
        <f>LOWER(VLOOKUP(A142,Xtal_Templ!A:B,2,FALSE))</f>
        <v>fpr2_human</v>
      </c>
      <c r="C142" s="3">
        <f>VLOOKUP($A142,'SegEnds_NonXtal_BW#'!$A:$Z,3,FALSE)+D142-50</f>
        <v>13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254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255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256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257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259</v>
      </c>
      <c r="B147" s="3" t="str">
        <f>LOWER(VLOOKUP(A147,Xtal_Templ!A:B,2,FALSE))</f>
        <v>gpr52_human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104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110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178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200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295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341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15</v>
      </c>
      <c r="AW147" s="3">
        <f t="shared" si="88"/>
        <v>5</v>
      </c>
      <c r="AX147" s="3">
        <f t="shared" si="89"/>
        <v>13</v>
      </c>
      <c r="AY147" s="3">
        <f t="shared" si="90"/>
        <v>4</v>
      </c>
      <c r="AZ147" s="3">
        <f t="shared" si="91"/>
        <v>1</v>
      </c>
      <c r="BA147" s="3">
        <f>IF(ISERROR(LEN(VLOOKUP(A147,Seqs!A:E,2,FALSE))-AL147),"-",LEN(VLOOKUP(A147,Seqs!A:E,2,FALSE))-AL147)</f>
        <v>20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260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261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262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361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90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266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267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269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270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271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272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273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274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275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3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276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277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278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281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282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283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284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287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288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289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290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291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292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293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294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295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296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297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298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299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300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301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302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303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304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305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306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307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308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309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310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311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312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316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317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318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907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329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330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332</v>
      </c>
      <c r="B200" s="3" t="s">
        <v>913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334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909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335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336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911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1167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915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341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342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344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345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346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348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350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351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352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353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354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356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1301</v>
      </c>
    </row>
    <row r="220" spans="1:59" s="3" customFormat="1" x14ac:dyDescent="0.2">
      <c r="A220" s="3" t="s">
        <v>357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358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359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360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361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362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363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364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365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369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370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371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373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378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380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381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382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383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384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385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1591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467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386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387</v>
      </c>
      <c r="B243" s="3" t="str">
        <f>LOWER(VLOOKUP(A243,Xtal_Templ!A:B,2,FALSE))</f>
        <v>adrb2_human</v>
      </c>
      <c r="C243" s="3">
        <f>VLOOKUP($A243,'SegEnds_NonXtal_BW#'!$A:$Z,3,FALSE)+D243-50</f>
        <v>36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106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182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2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19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388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389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390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391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392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393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394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398</v>
      </c>
      <c r="B251" s="3" t="str">
        <f>LOWER(VLOOKUP(A251,Xtal_Templ!A:B,2,FALSE))</f>
        <v>mtr1b_human</v>
      </c>
      <c r="C251" s="3">
        <f>VLOOKUP($A251,'SegEnds_NonXtal_BW#'!$A:$Z,3,FALSE)+D251-50</f>
        <v>35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202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345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8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26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399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247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279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280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347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fpr2_human</v>
      </c>
      <c r="C264" s="3">
        <f>VLOOKUP($A264,'SegEnds_NonXtal_BW#'!$A:$Z,3,FALSE)+D264-50</f>
        <v>51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87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203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319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6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17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213</v>
      </c>
      <c r="B268" s="3" t="str">
        <f>LOWER(VLOOKUP(A268,Xtal_Templ!A:B,2,FALSE))</f>
        <v>par2_human</v>
      </c>
      <c r="C268" s="3">
        <f>VLOOKUP($A268,'SegEnds_NonXtal_BW#'!$A:$Z,3,FALSE)+D268-50</f>
        <v>38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179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192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7</v>
      </c>
      <c r="AW268" s="3">
        <f t="shared" si="180"/>
        <v>4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54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214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218</v>
      </c>
      <c r="B270" s="3" t="str">
        <f>LOWER(VLOOKUP(A270,Xtal_Templ!A:B,2,FALSE))</f>
        <v>fpr2_human</v>
      </c>
      <c r="C270" s="3">
        <f>VLOOKUP($A270,'SegEnds_NonXtal_BW#'!$A:$Z,3,FALSE)+D270-50</f>
        <v>20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56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172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311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22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220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221</v>
      </c>
      <c r="B272" s="3" t="str">
        <f>LOWER(VLOOKUP(A272,Xtal_Templ!A:B,2,FALSE))</f>
        <v>cxcr4_human</v>
      </c>
      <c r="C272" s="3">
        <f>VLOOKUP($A272,'SegEnds_NonXtal_BW#'!$A:$Z,3,FALSE)+D272-50</f>
        <v>34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109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226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323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368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7</v>
      </c>
      <c r="AX272" s="3">
        <f t="shared" si="181"/>
        <v>13</v>
      </c>
      <c r="AY272" s="3">
        <f t="shared" si="182"/>
        <v>2</v>
      </c>
      <c r="AZ272" s="3">
        <f t="shared" si="183"/>
        <v>1</v>
      </c>
      <c r="BA272" s="3">
        <f>IF(ISERROR(LEN(VLOOKUP(A272,Seqs!A:E,2,FALSE))-AL272),"-",LEN(VLOOKUP(A272,Seqs!A:E,2,FALSE))-AL272)</f>
        <v>66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225</v>
      </c>
      <c r="B273" s="3" t="str">
        <f>LOWER(VLOOKUP(A273,Xtal_Templ!A:B,2,FALSE))</f>
        <v>p2y12_human</v>
      </c>
      <c r="C273" s="3">
        <f>VLOOKUP($A273,'SegEnds_NonXtal_BW#'!$A:$Z,3,FALSE)+D273-50</f>
        <v>17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306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32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231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234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258</v>
      </c>
      <c r="B276" s="3" t="str">
        <f>LOWER(VLOOKUP(A276,Xtal_Templ!A:B,2,FALSE))</f>
        <v>5ht1b_human</v>
      </c>
      <c r="C276" s="3">
        <f>VLOOKUP($A276,'SegEnds_NonXtal_BW#'!$A:$Z,3,FALSE)+D276-50</f>
        <v>30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169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339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13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33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263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264</v>
      </c>
      <c r="B278" s="3" t="str">
        <f>LOWER(VLOOKUP(A278,Xtal_Templ!A:B,2,FALSE))</f>
        <v>drd2_human</v>
      </c>
      <c r="C278" s="3">
        <f>VLOOKUP($A278,'SegEnds_NonXtal_BW#'!$A:$Z,3,FALSE)+D278-50</f>
        <v>78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215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349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387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14</v>
      </c>
      <c r="AW278" s="3">
        <f t="shared" si="180"/>
        <v>8</v>
      </c>
      <c r="AX278" s="3">
        <f t="shared" si="181"/>
        <v>23</v>
      </c>
      <c r="AY278" s="3">
        <f t="shared" si="182"/>
        <v>9</v>
      </c>
      <c r="AZ278" s="3">
        <f t="shared" si="183"/>
        <v>1</v>
      </c>
      <c r="BA278" s="3">
        <f>IF(ISERROR(LEN(VLOOKUP(A278,Seqs!A:E,2,FALSE))-AL278),"-",LEN(VLOOKUP(A278,Seqs!A:E,2,FALSE))-AL278)</f>
        <v>32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265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268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313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314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315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319</v>
      </c>
      <c r="B284" s="3" t="str">
        <f>LOWER(VLOOKUP(A284,Xtal_Templ!A:B,2,FALSE))</f>
        <v>oprd_human</v>
      </c>
      <c r="C284" s="3">
        <f>VLOOKUP($A284,'SegEnds_NonXtal_BW#'!$A:$Z,3,FALSE)+D284-50</f>
        <v>27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320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321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322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324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325</v>
      </c>
      <c r="B289" s="3" t="str">
        <f>LOWER(VLOOKUP(A289,Xtal_Templ!A:B,2,FALSE))</f>
        <v>ox1r_human</v>
      </c>
      <c r="C289" s="3">
        <f>VLOOKUP($A289,'SegEnds_NonXtal_BW#'!$A:$Z,3,FALSE)+D289-50</f>
        <v>50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345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36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326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327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328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1300</v>
      </c>
    </row>
    <row r="293" spans="1:59" s="3" customFormat="1" x14ac:dyDescent="0.2">
      <c r="A293" s="3" t="s">
        <v>331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343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366</v>
      </c>
      <c r="B295" s="3" t="str">
        <f>LOWER(VLOOKUP(A295,Xtal_Templ!A:B,2,FALSE))</f>
        <v>npy1r_human</v>
      </c>
      <c r="C295" s="3">
        <f>VLOOKUP($A295,'SegEnds_NonXtal_BW#'!$A:$Z,3,FALSE)+D295-50</f>
        <v>58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225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6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367</v>
      </c>
      <c r="B296" s="3" t="str">
        <f>LOWER(VLOOKUP(A296,Xtal_Templ!A:B,2,FALSE))</f>
        <v>npy1r_human</v>
      </c>
      <c r="C296" s="3">
        <f>VLOOKUP($A296,'SegEnds_NonXtal_BW#'!$A:$Z,3,FALSE)+D296-50</f>
        <v>49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216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6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372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145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2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917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1501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 t="shared" ref="H299:I302" si="199">G299+1</f>
        <v>65</v>
      </c>
      <c r="I299" s="3">
        <f t="shared" si="199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1631</v>
      </c>
      <c r="B300" s="3" t="str">
        <f>LOWER(VLOOKUP(A300,Xtal_Templ!A:B,2,FALSE))</f>
        <v>aa2ar_human</v>
      </c>
      <c r="C300" s="3">
        <f>VLOOKUP($A300,'SegEnds_NonXtal_BW#'!$A:$Z,3,FALSE)+D300-50</f>
        <v>19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200">G300-2</f>
        <v>53</v>
      </c>
      <c r="G300" s="3">
        <v>55</v>
      </c>
      <c r="H300" s="3">
        <f t="shared" si="199"/>
        <v>56</v>
      </c>
      <c r="I300" s="3">
        <f t="shared" si="199"/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1634</v>
      </c>
      <c r="B301" s="3" t="str">
        <f>LOWER(VLOOKUP(A301,Xtal_Templ!A:B,2,FALSE))</f>
        <v>ccr2_human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1">G301-2</f>
        <v>53</v>
      </c>
      <c r="G301" s="3">
        <v>55</v>
      </c>
      <c r="H301" s="3">
        <f t="shared" si="199"/>
        <v>56</v>
      </c>
      <c r="I301" s="3">
        <f t="shared" si="199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305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8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1636</v>
      </c>
      <c r="B302" s="3" t="str">
        <f>LOWER(VLOOKUP(A302,Xtal_Templ!A:B,2,FALSE))</f>
        <v>c5ar1_human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2">G302-2</f>
        <v>50</v>
      </c>
      <c r="G302" s="3">
        <v>52</v>
      </c>
      <c r="H302" s="3">
        <f t="shared" si="199"/>
        <v>53</v>
      </c>
      <c r="I302" s="3">
        <f t="shared" si="199"/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300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16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400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401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338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402</v>
      </c>
      <c r="B306" s="3" t="str">
        <f>LOWER(VLOOKUP(A306,Xtal_Templ!A:B,2,FALSE))</f>
        <v>crfr2_human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223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296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334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4</v>
      </c>
      <c r="AY306" s="3">
        <f t="shared" si="182"/>
        <v>6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1414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403</v>
      </c>
      <c r="B308" s="3" t="str">
        <f>LOWER(VLOOKUP(A308,Xtal_Templ!A:B,2,FALSE))</f>
        <v>pacr_human</v>
      </c>
      <c r="C308" s="3">
        <f>VLOOKUP($A308,'SegEnds_NonXtal_BW#'!$A:$Z,3,FALSE)+D308-50</f>
        <v>115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199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240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278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348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4</v>
      </c>
      <c r="AX308" s="3">
        <f t="shared" si="181"/>
        <v>8</v>
      </c>
      <c r="AY308" s="3">
        <f t="shared" si="182"/>
        <v>6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404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405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406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407</v>
      </c>
      <c r="B313" s="3" t="str">
        <f>LOWER(VLOOKUP(A313,Xtal_Templ!A:B,2,FALSE))</f>
        <v>pacr_human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223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264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302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4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408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409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410</v>
      </c>
      <c r="B316" s="3" t="str">
        <f>LOWER(VLOOKUP(A316,Xtal_Templ!A:B,2,FALSE))</f>
        <v>pacr_human</v>
      </c>
      <c r="C316" s="3">
        <f>VLOOKUP($A316,'SegEnds_NonXtal_BW#'!$A:$Z,3,FALSE)+D316-50</f>
        <v>128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212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253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291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361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4</v>
      </c>
      <c r="AX316" s="3">
        <f t="shared" si="181"/>
        <v>8</v>
      </c>
      <c r="AY316" s="3">
        <f t="shared" si="182"/>
        <v>5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411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290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3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412</v>
      </c>
      <c r="B318" s="3" t="str">
        <f>LOWER(VLOOKUP(A318,Xtal_Templ!A:B,2,FALSE))</f>
        <v>pacr_human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199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239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277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4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1170</v>
      </c>
      <c r="B319" s="3" t="str">
        <f>LOWER(VLOOKUP(A319,Xtal_Templ!A:B,2,FALSE))</f>
        <v>pacr_human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276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6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1171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1172</v>
      </c>
      <c r="B321" s="3" t="str">
        <f>LOWER(VLOOKUP(A321,Xtal_Templ!A:B,2,FALSE))</f>
        <v>crfr2_human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873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1173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1174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1175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1176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1177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1178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3">G327+1</f>
        <v>565</v>
      </c>
      <c r="I327" s="3">
        <f t="shared" si="203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1179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3"/>
        <v>385</v>
      </c>
      <c r="I328" s="3">
        <f t="shared" si="203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1180</v>
      </c>
      <c r="B329" s="3" t="str">
        <f>LOWER(VLOOKUP(A329,Xtal_Templ!A:B,2,FALSE))</f>
        <v>crfr1_human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3"/>
        <v>219</v>
      </c>
      <c r="I329" s="3">
        <f t="shared" si="203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296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4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5">IF(ISERROR(F329-E329),"-",F329-E329)</f>
        <v>1</v>
      </c>
      <c r="AQ329" s="3">
        <f t="shared" ref="AQ329:AQ394" si="206">IF(ISERROR(I329-H329),"-",I329-H329)</f>
        <v>1</v>
      </c>
      <c r="AR329" s="3" t="str">
        <f t="shared" ref="AR329:AR394" si="207">IF(ISERROR(L329-K329),"-",L329-K329)</f>
        <v>-</v>
      </c>
      <c r="AS329" s="3" t="str">
        <f t="shared" ref="AS329:AS394" si="208">IF(ISERROR(O329-N329),"-",O329-N329)</f>
        <v>-</v>
      </c>
      <c r="AT329" s="3" t="str">
        <f t="shared" ref="AT329:AT394" si="209">IF(ISERROR(R329-Q329),"-",R329-Q329)</f>
        <v>-</v>
      </c>
      <c r="AU329" s="3" t="str">
        <f t="shared" ref="AU329:AU394" si="210">IF(ISERROR(U329-T329),"-",U329-T329)</f>
        <v>-</v>
      </c>
      <c r="AV329" s="3">
        <f t="shared" ref="AV329:AV394" si="211">IF(ISERROR(X329-W329),"-",X329-W329)</f>
        <v>5</v>
      </c>
      <c r="AW329" s="3">
        <f t="shared" ref="AW329:AW394" si="212">IF(ISERROR(AA329-Z329),"-",AA329-Z329)</f>
        <v>3</v>
      </c>
      <c r="AX329" s="3">
        <f t="shared" ref="AX329:AX394" si="213">IF(ISERROR(AD329-AC329),"-",AD329-AC329)</f>
        <v>12</v>
      </c>
      <c r="AY329" s="3">
        <f t="shared" ref="AY329:AY394" si="214">IF(ISERROR(AG329-AF329),"-",AG329-AF329)</f>
        <v>7</v>
      </c>
      <c r="AZ329" s="3">
        <f t="shared" ref="AZ329:AZ394" si="215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6">J329-D329</f>
        <v>28</v>
      </c>
      <c r="BC329" s="9" t="str">
        <f t="shared" ref="BC329:BC394" si="217">IF(ISERROR(V329-S329),"-",V329-S329)</f>
        <v>-</v>
      </c>
      <c r="BD329" s="3">
        <f t="shared" ref="BD329:BD394" si="218">J329-D329</f>
        <v>28</v>
      </c>
      <c r="BE329" s="3">
        <f t="shared" ref="BE329:BE394" si="219">AE329-AB329</f>
        <v>52</v>
      </c>
      <c r="BF329" s="3">
        <f>AH329-AE329</f>
        <v>32</v>
      </c>
    </row>
    <row r="330" spans="1:59" s="3" customFormat="1" x14ac:dyDescent="0.2">
      <c r="A330" s="3" t="s">
        <v>1181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4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20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5"/>
        <v>-</v>
      </c>
      <c r="AQ330" s="3" t="str">
        <f t="shared" si="206"/>
        <v>-</v>
      </c>
      <c r="AR330" s="3" t="str">
        <f t="shared" si="207"/>
        <v>-</v>
      </c>
      <c r="AS330" s="3" t="str">
        <f t="shared" si="208"/>
        <v>-</v>
      </c>
      <c r="AT330" s="3" t="str">
        <f t="shared" si="209"/>
        <v>-</v>
      </c>
      <c r="AU330" s="3" t="str">
        <f t="shared" si="210"/>
        <v>-</v>
      </c>
      <c r="AV330" s="3">
        <f t="shared" si="211"/>
        <v>8</v>
      </c>
      <c r="AW330" s="3">
        <f t="shared" si="212"/>
        <v>5</v>
      </c>
      <c r="AX330" s="3">
        <f t="shared" si="213"/>
        <v>12</v>
      </c>
      <c r="AY330" s="3">
        <f t="shared" si="214"/>
        <v>6</v>
      </c>
      <c r="AZ330" s="3">
        <f t="shared" si="215"/>
        <v>1</v>
      </c>
      <c r="BA330" s="3">
        <f>IF(ISERROR(LEN(VLOOKUP(A330,Seqs!A:E,2,FALSE))-AL330),"-",LEN(VLOOKUP(A330,Seqs!A:E,2,FALSE))-AL330)</f>
        <v>52</v>
      </c>
      <c r="BB330" s="16">
        <f t="shared" si="216"/>
        <v>31</v>
      </c>
      <c r="BC330" s="9" t="str">
        <f t="shared" si="217"/>
        <v>-</v>
      </c>
      <c r="BD330" s="3">
        <f t="shared" si="218"/>
        <v>31</v>
      </c>
      <c r="BE330" s="3">
        <f t="shared" si="219"/>
        <v>52</v>
      </c>
    </row>
    <row r="331" spans="1:59" s="3" customFormat="1" x14ac:dyDescent="0.2">
      <c r="A331" s="3" t="s">
        <v>1182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4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20"/>
        <v>1</v>
      </c>
      <c r="AO331" s="3" t="str">
        <f>IF(ISERROR(MATCH(A331,'SegEnds_Xtal_Prot#'!B:B, 0)), "NoXtal", "Xtal")</f>
        <v>NoXtal</v>
      </c>
      <c r="AP331" s="3" t="str">
        <f t="shared" si="205"/>
        <v>-</v>
      </c>
      <c r="AQ331" s="3" t="str">
        <f t="shared" si="206"/>
        <v>-</v>
      </c>
      <c r="AR331" s="3" t="str">
        <f t="shared" si="207"/>
        <v>-</v>
      </c>
      <c r="AS331" s="3" t="str">
        <f t="shared" si="208"/>
        <v>-</v>
      </c>
      <c r="AT331" s="3" t="str">
        <f t="shared" si="209"/>
        <v>-</v>
      </c>
      <c r="AU331" s="3" t="str">
        <f t="shared" si="210"/>
        <v>-</v>
      </c>
      <c r="AV331" s="3">
        <f t="shared" si="211"/>
        <v>9</v>
      </c>
      <c r="AW331" s="3">
        <f t="shared" si="212"/>
        <v>4</v>
      </c>
      <c r="AX331" s="3">
        <f t="shared" si="213"/>
        <v>17</v>
      </c>
      <c r="AY331" s="3">
        <f t="shared" si="214"/>
        <v>4</v>
      </c>
      <c r="AZ331" s="3" t="str">
        <f t="shared" si="215"/>
        <v>-</v>
      </c>
      <c r="BA331" s="3" t="str">
        <f>IF(ISERROR(LEN(VLOOKUP(A331,Seqs!A:E,2,FALSE))-AL331),"-",LEN(VLOOKUP(A331,Seqs!A:E,2,FALSE))-AL331)</f>
        <v>-</v>
      </c>
      <c r="BB331" s="16">
        <f t="shared" si="216"/>
        <v>31</v>
      </c>
      <c r="BC331" s="9" t="str">
        <f t="shared" si="217"/>
        <v>-</v>
      </c>
      <c r="BD331" s="3">
        <f t="shared" si="218"/>
        <v>31</v>
      </c>
      <c r="BE331" s="3">
        <f t="shared" si="219"/>
        <v>57</v>
      </c>
      <c r="BF331" s="3">
        <f>AH331-AE331</f>
        <v>23</v>
      </c>
      <c r="BG331" s="3" t="s">
        <v>1300</v>
      </c>
    </row>
    <row r="332" spans="1:59" s="3" customFormat="1" x14ac:dyDescent="0.2">
      <c r="A332" s="3" t="s">
        <v>1183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4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20"/>
        <v>1</v>
      </c>
      <c r="AO332" s="3" t="str">
        <f>IF(ISERROR(MATCH(A332,'SegEnds_Xtal_Prot#'!B:B, 0)), "NoXtal", "Xtal")</f>
        <v>NoXtal</v>
      </c>
      <c r="AP332" s="3" t="str">
        <f t="shared" si="205"/>
        <v>-</v>
      </c>
      <c r="AQ332" s="3" t="str">
        <f t="shared" si="206"/>
        <v>-</v>
      </c>
      <c r="AR332" s="3" t="str">
        <f t="shared" si="207"/>
        <v>-</v>
      </c>
      <c r="AS332" s="3" t="str">
        <f t="shared" si="208"/>
        <v>-</v>
      </c>
      <c r="AT332" s="3" t="str">
        <f t="shared" si="209"/>
        <v>-</v>
      </c>
      <c r="AU332" s="3" t="str">
        <f t="shared" si="210"/>
        <v>-</v>
      </c>
      <c r="AV332" s="3">
        <f t="shared" si="211"/>
        <v>9</v>
      </c>
      <c r="AW332" s="3">
        <f t="shared" si="212"/>
        <v>3</v>
      </c>
      <c r="AX332" s="3">
        <f t="shared" si="213"/>
        <v>12</v>
      </c>
      <c r="AY332" s="3">
        <f t="shared" si="214"/>
        <v>7</v>
      </c>
      <c r="AZ332" s="3">
        <f t="shared" si="215"/>
        <v>1</v>
      </c>
      <c r="BA332" s="3">
        <f>IF(ISERROR(LEN(VLOOKUP(A332,Seqs!A:E,2,FALSE))-AL332),"-",LEN(VLOOKUP(A332,Seqs!A:E,2,FALSE))-AL332)</f>
        <v>39</v>
      </c>
      <c r="BB332" s="16">
        <f t="shared" si="216"/>
        <v>31</v>
      </c>
      <c r="BC332" s="9" t="str">
        <f t="shared" si="217"/>
        <v>-</v>
      </c>
      <c r="BD332" s="3">
        <f t="shared" si="218"/>
        <v>31</v>
      </c>
      <c r="BE332" s="3">
        <f t="shared" si="219"/>
        <v>52</v>
      </c>
    </row>
    <row r="333" spans="1:59" s="3" customFormat="1" x14ac:dyDescent="0.2">
      <c r="A333" s="3" t="s">
        <v>1184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4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20"/>
        <v>1</v>
      </c>
      <c r="AO333" s="3" t="str">
        <f>IF(ISERROR(MATCH(A333,'SegEnds_Xtal_Prot#'!B:B, 0)), "NoXtal", "Xtal")</f>
        <v>NoXtal</v>
      </c>
      <c r="AP333" s="3" t="str">
        <f t="shared" si="205"/>
        <v>-</v>
      </c>
      <c r="AQ333" s="3" t="str">
        <f t="shared" si="206"/>
        <v>-</v>
      </c>
      <c r="AR333" s="3" t="str">
        <f t="shared" si="207"/>
        <v>-</v>
      </c>
      <c r="AS333" s="3" t="str">
        <f t="shared" si="208"/>
        <v>-</v>
      </c>
      <c r="AT333" s="3" t="str">
        <f t="shared" si="209"/>
        <v>-</v>
      </c>
      <c r="AU333" s="3" t="str">
        <f t="shared" si="210"/>
        <v>-</v>
      </c>
      <c r="AV333" s="3">
        <f t="shared" si="211"/>
        <v>8</v>
      </c>
      <c r="AW333" s="3">
        <f t="shared" si="212"/>
        <v>4</v>
      </c>
      <c r="AX333" s="3">
        <f t="shared" si="213"/>
        <v>11</v>
      </c>
      <c r="AY333" s="3">
        <f t="shared" si="214"/>
        <v>7</v>
      </c>
      <c r="AZ333" s="3">
        <f t="shared" si="215"/>
        <v>1</v>
      </c>
      <c r="BA333" s="3">
        <f>IF(ISERROR(LEN(VLOOKUP(A333,Seqs!A:E,2,FALSE))-AL333),"-",LEN(VLOOKUP(A333,Seqs!A:E,2,FALSE))-AL333)</f>
        <v>23</v>
      </c>
      <c r="BB333" s="16">
        <f t="shared" si="216"/>
        <v>31</v>
      </c>
      <c r="BC333" s="9" t="str">
        <f t="shared" si="217"/>
        <v>-</v>
      </c>
      <c r="BD333" s="3">
        <f t="shared" si="218"/>
        <v>31</v>
      </c>
      <c r="BE333" s="3">
        <f t="shared" si="219"/>
        <v>51</v>
      </c>
      <c r="BF333" s="3">
        <f>AH333-AE333</f>
        <v>29</v>
      </c>
    </row>
    <row r="334" spans="1:59" s="3" customFormat="1" x14ac:dyDescent="0.2">
      <c r="A334" s="3" t="s">
        <v>1185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4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20"/>
        <v>1</v>
      </c>
      <c r="AO334" s="3" t="str">
        <f>IF(ISERROR(MATCH(A334,'SegEnds_Xtal_Prot#'!B:B, 0)), "NoXtal", "Xtal")</f>
        <v>NoXtal</v>
      </c>
      <c r="AP334" s="3">
        <f t="shared" si="205"/>
        <v>2</v>
      </c>
      <c r="AQ334" s="3">
        <f t="shared" si="206"/>
        <v>1</v>
      </c>
      <c r="AR334" s="3" t="str">
        <f t="shared" si="207"/>
        <v>-</v>
      </c>
      <c r="AS334" s="3" t="str">
        <f t="shared" si="208"/>
        <v>-</v>
      </c>
      <c r="AT334" s="3" t="str">
        <f t="shared" si="209"/>
        <v>-</v>
      </c>
      <c r="AU334" s="3" t="str">
        <f t="shared" si="210"/>
        <v>-</v>
      </c>
      <c r="AV334" s="3">
        <f t="shared" si="211"/>
        <v>8</v>
      </c>
      <c r="AW334" s="3">
        <f t="shared" si="212"/>
        <v>4</v>
      </c>
      <c r="AX334" s="3">
        <f t="shared" si="213"/>
        <v>12</v>
      </c>
      <c r="AY334" s="3">
        <f t="shared" si="214"/>
        <v>7</v>
      </c>
      <c r="AZ334" s="3">
        <f t="shared" si="215"/>
        <v>1</v>
      </c>
      <c r="BA334" s="3">
        <f>IF(ISERROR(LEN(VLOOKUP(A334,Seqs!A:E,2,FALSE))-AL334),"-",LEN(VLOOKUP(A334,Seqs!A:E,2,FALSE))-AL334)</f>
        <v>60</v>
      </c>
      <c r="BB334" s="16">
        <f t="shared" si="216"/>
        <v>31</v>
      </c>
      <c r="BC334" s="9" t="str">
        <f t="shared" si="217"/>
        <v>-</v>
      </c>
      <c r="BD334" s="3">
        <f t="shared" si="218"/>
        <v>31</v>
      </c>
      <c r="BE334" s="3">
        <f t="shared" si="219"/>
        <v>52</v>
      </c>
    </row>
    <row r="335" spans="1:59" s="3" customFormat="1" x14ac:dyDescent="0.2">
      <c r="A335" s="3" t="s">
        <v>1186</v>
      </c>
      <c r="B335" s="3" t="str">
        <f>LOWER(VLOOKUP(A335,Xtal_Templ!A:B,2,FALSE))</f>
        <v>glr_human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4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20"/>
        <v>1</v>
      </c>
      <c r="AO335" s="3" t="str">
        <f>IF(ISERROR(MATCH(A335,'SegEnds_Xtal_Prot#'!B:B, 0)), "NoXtal", "Xtal")</f>
        <v>NoXtal</v>
      </c>
      <c r="AP335" s="3">
        <f t="shared" si="205"/>
        <v>2</v>
      </c>
      <c r="AQ335" s="3">
        <f t="shared" si="206"/>
        <v>1</v>
      </c>
      <c r="AR335" s="3" t="str">
        <f t="shared" si="207"/>
        <v>-</v>
      </c>
      <c r="AS335" s="3" t="str">
        <f t="shared" si="208"/>
        <v>-</v>
      </c>
      <c r="AT335" s="3" t="str">
        <f t="shared" si="209"/>
        <v>-</v>
      </c>
      <c r="AU335" s="3" t="str">
        <f t="shared" si="210"/>
        <v>-</v>
      </c>
      <c r="AV335" s="3">
        <f t="shared" si="211"/>
        <v>20</v>
      </c>
      <c r="AW335" s="3">
        <f t="shared" si="212"/>
        <v>3</v>
      </c>
      <c r="AX335" s="3">
        <f t="shared" si="213"/>
        <v>4</v>
      </c>
      <c r="AY335" s="3">
        <f t="shared" si="214"/>
        <v>5</v>
      </c>
      <c r="AZ335" s="3">
        <f t="shared" si="215"/>
        <v>1</v>
      </c>
      <c r="BA335" s="3">
        <f>IF(ISERROR(LEN(VLOOKUP(A335,Seqs!A:E,2,FALSE))-AL335),"-",LEN(VLOOKUP(A335,Seqs!A:E,2,FALSE))-AL335)</f>
        <v>15</v>
      </c>
      <c r="BB335" s="16">
        <f t="shared" si="216"/>
        <v>35</v>
      </c>
      <c r="BC335" s="9" t="str">
        <f t="shared" si="217"/>
        <v>-</v>
      </c>
      <c r="BD335" s="3">
        <f t="shared" si="218"/>
        <v>35</v>
      </c>
      <c r="BE335" s="3">
        <f t="shared" si="219"/>
        <v>44</v>
      </c>
      <c r="BF335" s="3">
        <f>AH335-AE335</f>
        <v>30</v>
      </c>
    </row>
    <row r="336" spans="1:59" s="3" customFormat="1" x14ac:dyDescent="0.2">
      <c r="A336" s="3" t="s">
        <v>1187</v>
      </c>
      <c r="B336" s="3" t="str">
        <f>LOWER(VLOOKUP(A336,Xtal_Templ!A:B,2,FALSE))</f>
        <v>pacr_human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733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4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20"/>
        <v>1</v>
      </c>
      <c r="AO336" s="3" t="str">
        <f>IF(ISERROR(MATCH(A336,'SegEnds_Xtal_Prot#'!B:B, 0)), "NoXtal", "Xtal")</f>
        <v>NoXtal</v>
      </c>
      <c r="AP336" s="3" t="str">
        <f t="shared" si="205"/>
        <v>-</v>
      </c>
      <c r="AQ336" s="3" t="str">
        <f t="shared" si="206"/>
        <v>-</v>
      </c>
      <c r="AR336" s="3" t="str">
        <f t="shared" si="207"/>
        <v>-</v>
      </c>
      <c r="AS336" s="3" t="str">
        <f t="shared" si="208"/>
        <v>-</v>
      </c>
      <c r="AT336" s="3" t="str">
        <f t="shared" si="209"/>
        <v>-</v>
      </c>
      <c r="AU336" s="3" t="str">
        <f t="shared" si="210"/>
        <v>-</v>
      </c>
      <c r="AV336" s="3">
        <f t="shared" si="211"/>
        <v>17</v>
      </c>
      <c r="AW336" s="3">
        <f t="shared" si="212"/>
        <v>3</v>
      </c>
      <c r="AX336" s="3">
        <f t="shared" si="213"/>
        <v>11</v>
      </c>
      <c r="AY336" s="3">
        <f t="shared" si="214"/>
        <v>5</v>
      </c>
      <c r="AZ336" s="3">
        <f t="shared" si="215"/>
        <v>1</v>
      </c>
      <c r="BA336" s="3">
        <f>IF(ISERROR(LEN(VLOOKUP(A336,Seqs!A:E,2,FALSE))-AL336),"-",LEN(VLOOKUP(A336,Seqs!A:E,2,FALSE))-AL336)</f>
        <v>118</v>
      </c>
      <c r="BB336" s="16">
        <f t="shared" si="216"/>
        <v>29</v>
      </c>
      <c r="BC336" s="9" t="str">
        <f t="shared" si="217"/>
        <v>-</v>
      </c>
      <c r="BD336" s="3">
        <f t="shared" si="218"/>
        <v>29</v>
      </c>
      <c r="BE336" s="3">
        <f t="shared" si="219"/>
        <v>51</v>
      </c>
    </row>
    <row r="337" spans="1:58" s="3" customFormat="1" x14ac:dyDescent="0.2">
      <c r="A337" s="3" t="s">
        <v>1188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4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20"/>
        <v>1</v>
      </c>
      <c r="AO337" s="3" t="str">
        <f>IF(ISERROR(MATCH(A337,'SegEnds_Xtal_Prot#'!B:B, 0)), "NoXtal", "Xtal")</f>
        <v>NoXtal</v>
      </c>
      <c r="AP337" s="3" t="str">
        <f t="shared" si="205"/>
        <v>-</v>
      </c>
      <c r="AQ337" s="3" t="str">
        <f t="shared" si="206"/>
        <v>-</v>
      </c>
      <c r="AR337" s="3" t="str">
        <f t="shared" si="207"/>
        <v>-</v>
      </c>
      <c r="AS337" s="3" t="str">
        <f t="shared" si="208"/>
        <v>-</v>
      </c>
      <c r="AT337" s="3" t="str">
        <f t="shared" si="209"/>
        <v>-</v>
      </c>
      <c r="AU337" s="3" t="str">
        <f t="shared" si="210"/>
        <v>-</v>
      </c>
      <c r="AV337" s="3">
        <f t="shared" si="211"/>
        <v>15</v>
      </c>
      <c r="AW337" s="3">
        <f t="shared" si="212"/>
        <v>2</v>
      </c>
      <c r="AX337" s="3">
        <f t="shared" si="213"/>
        <v>14</v>
      </c>
      <c r="AY337" s="3">
        <f t="shared" si="214"/>
        <v>7</v>
      </c>
      <c r="AZ337" s="3">
        <f t="shared" si="215"/>
        <v>1</v>
      </c>
      <c r="BA337" s="3">
        <f>IF(ISERROR(LEN(VLOOKUP(A337,Seqs!A:E,2,FALSE))-AL337),"-",LEN(VLOOKUP(A337,Seqs!A:E,2,FALSE))-AL337)</f>
        <v>8</v>
      </c>
      <c r="BB337" s="16">
        <f t="shared" si="216"/>
        <v>33</v>
      </c>
      <c r="BC337" s="9" t="str">
        <f t="shared" si="217"/>
        <v>-</v>
      </c>
      <c r="BD337" s="3">
        <f t="shared" si="218"/>
        <v>33</v>
      </c>
      <c r="BE337" s="3">
        <f t="shared" si="219"/>
        <v>54</v>
      </c>
      <c r="BF337" s="3">
        <f>AH337-AE337</f>
        <v>26</v>
      </c>
    </row>
    <row r="338" spans="1:58" s="3" customFormat="1" x14ac:dyDescent="0.2">
      <c r="A338" s="3" t="s">
        <v>1189</v>
      </c>
      <c r="B338" s="3" t="str">
        <f>LOWER(VLOOKUP(A338,Xtal_Templ!A:B,2,FALSE))</f>
        <v>pth1r_human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2845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4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2959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20"/>
        <v>1</v>
      </c>
      <c r="AO338" s="3" t="str">
        <f>IF(ISERROR(MATCH(A338,'SegEnds_Xtal_Prot#'!B:B, 0)), "NoXtal", "Xtal")</f>
        <v>NoXtal</v>
      </c>
      <c r="AP338" s="3" t="str">
        <f t="shared" si="205"/>
        <v>-</v>
      </c>
      <c r="AQ338" s="3" t="str">
        <f t="shared" si="206"/>
        <v>-</v>
      </c>
      <c r="AR338" s="3" t="str">
        <f t="shared" si="207"/>
        <v>-</v>
      </c>
      <c r="AS338" s="3" t="str">
        <f t="shared" si="208"/>
        <v>-</v>
      </c>
      <c r="AT338" s="3" t="str">
        <f t="shared" si="209"/>
        <v>-</v>
      </c>
      <c r="AU338" s="3" t="str">
        <f t="shared" si="210"/>
        <v>-</v>
      </c>
      <c r="AV338" s="3">
        <f t="shared" si="211"/>
        <v>10</v>
      </c>
      <c r="AW338" s="3">
        <f t="shared" si="212"/>
        <v>3</v>
      </c>
      <c r="AX338" s="3">
        <f t="shared" si="213"/>
        <v>10</v>
      </c>
      <c r="AY338" s="3">
        <f t="shared" si="214"/>
        <v>5</v>
      </c>
      <c r="AZ338" s="3">
        <f t="shared" si="215"/>
        <v>1</v>
      </c>
      <c r="BA338" s="3">
        <f>IF(ISERROR(LEN(VLOOKUP(A338,Seqs!A:E,2,FALSE))-AL338),"-",LEN(VLOOKUP(A338,Seqs!A:E,2,FALSE))-AL338)</f>
        <v>74</v>
      </c>
      <c r="BB338" s="16">
        <f t="shared" si="216"/>
        <v>29</v>
      </c>
      <c r="BC338" s="9" t="str">
        <f t="shared" si="217"/>
        <v>-</v>
      </c>
      <c r="BD338" s="3">
        <f t="shared" si="218"/>
        <v>29</v>
      </c>
      <c r="BE338" s="3">
        <f t="shared" si="219"/>
        <v>50</v>
      </c>
    </row>
    <row r="339" spans="1:58" s="3" customFormat="1" x14ac:dyDescent="0.2">
      <c r="A339" s="3" t="s">
        <v>1190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4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20"/>
        <v>1</v>
      </c>
      <c r="AO339" s="3" t="str">
        <f>IF(ISERROR(MATCH(A339,'SegEnds_Xtal_Prot#'!B:B, 0)), "NoXtal", "Xtal")</f>
        <v>NoXtal</v>
      </c>
      <c r="AP339" s="3" t="str">
        <f t="shared" si="205"/>
        <v>-</v>
      </c>
      <c r="AQ339" s="3" t="str">
        <f t="shared" si="206"/>
        <v>-</v>
      </c>
      <c r="AR339" s="3" t="str">
        <f t="shared" si="207"/>
        <v>-</v>
      </c>
      <c r="AS339" s="3" t="str">
        <f t="shared" si="208"/>
        <v>-</v>
      </c>
      <c r="AT339" s="3" t="str">
        <f t="shared" si="209"/>
        <v>-</v>
      </c>
      <c r="AU339" s="3" t="str">
        <f t="shared" si="210"/>
        <v>-</v>
      </c>
      <c r="AV339" s="3">
        <f t="shared" si="211"/>
        <v>23</v>
      </c>
      <c r="AW339" s="3">
        <f t="shared" si="212"/>
        <v>3</v>
      </c>
      <c r="AX339" s="3">
        <f t="shared" si="213"/>
        <v>9</v>
      </c>
      <c r="AY339" s="3">
        <f t="shared" si="214"/>
        <v>5</v>
      </c>
      <c r="AZ339" s="3">
        <f t="shared" si="215"/>
        <v>1</v>
      </c>
      <c r="BA339" s="3">
        <f>IF(ISERROR(LEN(VLOOKUP(A339,Seqs!A:E,2,FALSE))-AL339),"-",LEN(VLOOKUP(A339,Seqs!A:E,2,FALSE))-AL339)</f>
        <v>5</v>
      </c>
      <c r="BB339" s="16">
        <f t="shared" si="216"/>
        <v>28</v>
      </c>
      <c r="BC339" s="9" t="str">
        <f t="shared" si="217"/>
        <v>-</v>
      </c>
      <c r="BD339" s="3">
        <f t="shared" si="218"/>
        <v>28</v>
      </c>
      <c r="BE339" s="3">
        <f t="shared" si="219"/>
        <v>49</v>
      </c>
      <c r="BF339" s="3">
        <f>AH339-AE339</f>
        <v>28</v>
      </c>
    </row>
    <row r="340" spans="1:58" s="3" customFormat="1" x14ac:dyDescent="0.2">
      <c r="A340" s="3" t="s">
        <v>1407</v>
      </c>
      <c r="B340" s="3" t="str">
        <f>LOWER(VLOOKUP(A340,Xtal_Templ!A:B,2,FALSE))</f>
        <v>crfr2_human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970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4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20"/>
        <v>1</v>
      </c>
      <c r="AO340" s="3" t="str">
        <f>IF(ISERROR(MATCH(A340,'SegEnds_Xtal_Prot#'!B:B, 0)), "NoXtal", "Xtal")</f>
        <v>NoXtal</v>
      </c>
      <c r="AP340" s="3">
        <f t="shared" si="205"/>
        <v>1</v>
      </c>
      <c r="AQ340" s="3">
        <f t="shared" si="206"/>
        <v>1</v>
      </c>
      <c r="AR340" s="3" t="str">
        <f t="shared" si="207"/>
        <v>-</v>
      </c>
      <c r="AS340" s="3" t="str">
        <f t="shared" si="208"/>
        <v>-</v>
      </c>
      <c r="AT340" s="3" t="str">
        <f t="shared" si="209"/>
        <v>-</v>
      </c>
      <c r="AU340" s="3" t="str">
        <f t="shared" si="210"/>
        <v>-</v>
      </c>
      <c r="AV340" s="3">
        <f t="shared" si="211"/>
        <v>16</v>
      </c>
      <c r="AW340" s="3">
        <f t="shared" si="212"/>
        <v>3</v>
      </c>
      <c r="AX340" s="3">
        <f t="shared" si="213"/>
        <v>11</v>
      </c>
      <c r="AY340" s="3">
        <f t="shared" si="214"/>
        <v>6</v>
      </c>
      <c r="AZ340" s="3">
        <f t="shared" si="215"/>
        <v>1</v>
      </c>
      <c r="BA340" s="3">
        <f>IF(ISERROR(LEN(VLOOKUP(A340,Seqs!A:E,2,FALSE))-AL340),"-",LEN(VLOOKUP(A340,Seqs!A:E,2,FALSE))-AL340)</f>
        <v>87</v>
      </c>
      <c r="BB340" s="16">
        <f t="shared" si="216"/>
        <v>29</v>
      </c>
      <c r="BC340" s="9" t="str">
        <f t="shared" si="217"/>
        <v>-</v>
      </c>
      <c r="BD340" s="3">
        <f t="shared" si="218"/>
        <v>29</v>
      </c>
      <c r="BE340" s="3">
        <f t="shared" si="219"/>
        <v>51</v>
      </c>
    </row>
    <row r="341" spans="1:58" s="3" customFormat="1" x14ac:dyDescent="0.2">
      <c r="A341" s="3" t="s">
        <v>1191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4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20"/>
        <v>1</v>
      </c>
      <c r="AO341" s="3" t="str">
        <f>IF(ISERROR(MATCH(A341,'SegEnds_Xtal_Prot#'!B:B, 0)), "NoXtal", "Xtal")</f>
        <v>NoXtal</v>
      </c>
      <c r="AP341" s="3" t="str">
        <f t="shared" si="205"/>
        <v>-</v>
      </c>
      <c r="AQ341" s="3" t="str">
        <f t="shared" si="206"/>
        <v>-</v>
      </c>
      <c r="AR341" s="3" t="str">
        <f t="shared" si="207"/>
        <v>-</v>
      </c>
      <c r="AS341" s="3" t="str">
        <f t="shared" si="208"/>
        <v>-</v>
      </c>
      <c r="AT341" s="3" t="str">
        <f t="shared" si="209"/>
        <v>-</v>
      </c>
      <c r="AU341" s="3" t="str">
        <f t="shared" si="210"/>
        <v>-</v>
      </c>
      <c r="AV341" s="3">
        <f t="shared" si="211"/>
        <v>16</v>
      </c>
      <c r="AW341" s="3">
        <f t="shared" si="212"/>
        <v>10</v>
      </c>
      <c r="AX341" s="3">
        <f t="shared" si="213"/>
        <v>11</v>
      </c>
      <c r="AY341" s="3">
        <f t="shared" si="214"/>
        <v>6</v>
      </c>
      <c r="AZ341" s="3">
        <f t="shared" si="215"/>
        <v>1</v>
      </c>
      <c r="BA341" s="3">
        <f>IF(ISERROR(LEN(VLOOKUP(A341,Seqs!A:E,2,FALSE))-AL341),"-",LEN(VLOOKUP(A341,Seqs!A:E,2,FALSE))-AL341)</f>
        <v>57</v>
      </c>
      <c r="BB341" s="16">
        <f t="shared" si="216"/>
        <v>29</v>
      </c>
      <c r="BC341" s="9" t="str">
        <f t="shared" si="217"/>
        <v>-</v>
      </c>
      <c r="BD341" s="3">
        <f t="shared" si="218"/>
        <v>29</v>
      </c>
      <c r="BE341" s="3">
        <f t="shared" si="219"/>
        <v>51</v>
      </c>
    </row>
    <row r="342" spans="1:58" s="3" customFormat="1" x14ac:dyDescent="0.2">
      <c r="A342" s="3" t="s">
        <v>1192</v>
      </c>
      <c r="B342" s="3" t="str">
        <f>LOWER(VLOOKUP(A342,Xtal_Templ!A:B,2,FALSE))</f>
        <v>crfr2_human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962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4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20"/>
        <v>1</v>
      </c>
      <c r="AO342" s="3" t="str">
        <f>IF(ISERROR(MATCH(A342,'SegEnds_Xtal_Prot#'!B:B, 0)), "NoXtal", "Xtal")</f>
        <v>NoXtal</v>
      </c>
      <c r="AP342" s="3">
        <f t="shared" si="205"/>
        <v>1</v>
      </c>
      <c r="AQ342" s="3">
        <f t="shared" si="206"/>
        <v>1</v>
      </c>
      <c r="AR342" s="3" t="str">
        <f t="shared" si="207"/>
        <v>-</v>
      </c>
      <c r="AS342" s="3" t="str">
        <f t="shared" si="208"/>
        <v>-</v>
      </c>
      <c r="AT342" s="3" t="str">
        <f t="shared" si="209"/>
        <v>-</v>
      </c>
      <c r="AU342" s="3" t="str">
        <f t="shared" si="210"/>
        <v>-</v>
      </c>
      <c r="AV342" s="3">
        <f t="shared" si="211"/>
        <v>6</v>
      </c>
      <c r="AW342" s="3">
        <f t="shared" si="212"/>
        <v>3</v>
      </c>
      <c r="AX342" s="3">
        <f t="shared" si="213"/>
        <v>12</v>
      </c>
      <c r="AY342" s="3">
        <f t="shared" si="214"/>
        <v>6</v>
      </c>
      <c r="AZ342" s="3">
        <f t="shared" si="215"/>
        <v>1</v>
      </c>
      <c r="BA342" s="3">
        <f>IF(ISERROR(LEN(VLOOKUP(A342,Seqs!A:E,2,FALSE))-AL342),"-",LEN(VLOOKUP(A342,Seqs!A:E,2,FALSE))-AL342)</f>
        <v>357</v>
      </c>
      <c r="BB342" s="16">
        <f t="shared" si="216"/>
        <v>28</v>
      </c>
      <c r="BC342" s="9" t="str">
        <f t="shared" si="217"/>
        <v>-</v>
      </c>
      <c r="BD342" s="3">
        <f t="shared" si="218"/>
        <v>28</v>
      </c>
      <c r="BE342" s="3">
        <f t="shared" si="219"/>
        <v>52</v>
      </c>
    </row>
    <row r="343" spans="1:58" s="3" customFormat="1" x14ac:dyDescent="0.2">
      <c r="A343" s="3" t="s">
        <v>1193</v>
      </c>
      <c r="B343" s="3" t="str">
        <f>LOWER(VLOOKUP(A343,Xtal_Templ!A:B,2,FALSE))</f>
        <v>crfr2_human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4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20"/>
        <v>1</v>
      </c>
      <c r="AO343" s="3" t="str">
        <f>IF(ISERROR(MATCH(A343,'SegEnds_Xtal_Prot#'!B:B, 0)), "NoXtal", "Xtal")</f>
        <v>NoXtal</v>
      </c>
      <c r="AP343" s="3" t="str">
        <f t="shared" si="205"/>
        <v>-</v>
      </c>
      <c r="AQ343" s="3" t="str">
        <f t="shared" si="206"/>
        <v>-</v>
      </c>
      <c r="AR343" s="3" t="str">
        <f t="shared" si="207"/>
        <v>-</v>
      </c>
      <c r="AS343" s="3" t="str">
        <f t="shared" si="208"/>
        <v>-</v>
      </c>
      <c r="AT343" s="3" t="str">
        <f t="shared" si="209"/>
        <v>-</v>
      </c>
      <c r="AU343" s="3" t="str">
        <f t="shared" si="210"/>
        <v>-</v>
      </c>
      <c r="AV343" s="3">
        <f t="shared" si="211"/>
        <v>6</v>
      </c>
      <c r="AW343" s="3">
        <f t="shared" si="212"/>
        <v>3</v>
      </c>
      <c r="AX343" s="3">
        <f t="shared" si="213"/>
        <v>12</v>
      </c>
      <c r="AY343" s="3">
        <f t="shared" si="214"/>
        <v>6</v>
      </c>
      <c r="AZ343" s="3">
        <f t="shared" si="215"/>
        <v>1</v>
      </c>
      <c r="BA343" s="3">
        <f>IF(ISERROR(LEN(VLOOKUP(A343,Seqs!A:E,2,FALSE))-AL343),"-",LEN(VLOOKUP(A343,Seqs!A:E,2,FALSE))-AL343)</f>
        <v>355</v>
      </c>
      <c r="BB343" s="16">
        <f t="shared" si="216"/>
        <v>28</v>
      </c>
      <c r="BC343" s="9" t="str">
        <f t="shared" si="217"/>
        <v>-</v>
      </c>
      <c r="BD343" s="3">
        <f t="shared" si="218"/>
        <v>28</v>
      </c>
      <c r="BE343" s="3">
        <f t="shared" si="219"/>
        <v>52</v>
      </c>
    </row>
    <row r="344" spans="1:58" s="3" customFormat="1" x14ac:dyDescent="0.2">
      <c r="A344" s="3" t="s">
        <v>1194</v>
      </c>
      <c r="B344" s="3" t="str">
        <f>LOWER(VLOOKUP(A344,Xtal_Templ!A:B,2,FALSE))</f>
        <v>crfr2_human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966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4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20"/>
        <v>1</v>
      </c>
      <c r="AO344" s="3" t="str">
        <f>IF(ISERROR(MATCH(A344,'SegEnds_Xtal_Prot#'!B:B, 0)), "NoXtal", "Xtal")</f>
        <v>NoXtal</v>
      </c>
      <c r="AP344" s="3">
        <f t="shared" si="205"/>
        <v>1</v>
      </c>
      <c r="AQ344" s="3">
        <f t="shared" si="206"/>
        <v>1</v>
      </c>
      <c r="AR344" s="3" t="str">
        <f t="shared" si="207"/>
        <v>-</v>
      </c>
      <c r="AS344" s="3" t="str">
        <f t="shared" si="208"/>
        <v>-</v>
      </c>
      <c r="AT344" s="3" t="str">
        <f t="shared" si="209"/>
        <v>-</v>
      </c>
      <c r="AU344" s="3" t="str">
        <f t="shared" si="210"/>
        <v>-</v>
      </c>
      <c r="AV344" s="3">
        <f t="shared" si="211"/>
        <v>6</v>
      </c>
      <c r="AW344" s="3">
        <f t="shared" si="212"/>
        <v>3</v>
      </c>
      <c r="AX344" s="3">
        <f t="shared" si="213"/>
        <v>12</v>
      </c>
      <c r="AY344" s="3">
        <f t="shared" si="214"/>
        <v>6</v>
      </c>
      <c r="AZ344" s="3">
        <f t="shared" si="215"/>
        <v>1</v>
      </c>
      <c r="BA344" s="3">
        <f>IF(ISERROR(LEN(VLOOKUP(A344,Seqs!A:E,2,FALSE))-AL344),"-",LEN(VLOOKUP(A344,Seqs!A:E,2,FALSE))-AL344)</f>
        <v>326</v>
      </c>
      <c r="BB344" s="16">
        <f t="shared" si="216"/>
        <v>28</v>
      </c>
      <c r="BC344" s="9" t="str">
        <f t="shared" si="217"/>
        <v>-</v>
      </c>
      <c r="BD344" s="3">
        <f t="shared" si="218"/>
        <v>28</v>
      </c>
      <c r="BE344" s="3">
        <f t="shared" si="219"/>
        <v>52</v>
      </c>
    </row>
    <row r="345" spans="1:58" s="3" customFormat="1" x14ac:dyDescent="0.2">
      <c r="A345" s="3" t="s">
        <v>1195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4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20"/>
        <v>1</v>
      </c>
      <c r="AO345" s="3" t="str">
        <f>IF(ISERROR(MATCH(A345,'SegEnds_Xtal_Prot#'!B:B, 0)), "NoXtal", "Xtal")</f>
        <v>NoXtal</v>
      </c>
      <c r="AP345" s="3" t="str">
        <f t="shared" si="205"/>
        <v>-</v>
      </c>
      <c r="AQ345" s="3" t="str">
        <f t="shared" si="206"/>
        <v>-</v>
      </c>
      <c r="AR345" s="3" t="str">
        <f t="shared" si="207"/>
        <v>-</v>
      </c>
      <c r="AS345" s="3" t="str">
        <f t="shared" si="208"/>
        <v>-</v>
      </c>
      <c r="AT345" s="3" t="str">
        <f t="shared" si="209"/>
        <v>-</v>
      </c>
      <c r="AU345" s="3" t="str">
        <f t="shared" si="210"/>
        <v>-</v>
      </c>
      <c r="AV345" s="3">
        <f t="shared" si="211"/>
        <v>6</v>
      </c>
      <c r="AW345" s="3">
        <f t="shared" si="212"/>
        <v>3</v>
      </c>
      <c r="AX345" s="3">
        <f t="shared" si="213"/>
        <v>12</v>
      </c>
      <c r="AY345" s="3">
        <f t="shared" si="214"/>
        <v>6</v>
      </c>
      <c r="AZ345" s="3">
        <f t="shared" si="215"/>
        <v>1</v>
      </c>
      <c r="BA345" s="3">
        <f>IF(ISERROR(LEN(VLOOKUP(A345,Seqs!A:E,2,FALSE))-AL345),"-",LEN(VLOOKUP(A345,Seqs!A:E,2,FALSE))-AL345)</f>
        <v>6</v>
      </c>
      <c r="BB345" s="16">
        <f t="shared" si="216"/>
        <v>28</v>
      </c>
      <c r="BC345" s="9" t="str">
        <f t="shared" si="217"/>
        <v>-</v>
      </c>
      <c r="BD345" s="3">
        <f t="shared" si="218"/>
        <v>28</v>
      </c>
      <c r="BE345" s="3">
        <f t="shared" si="219"/>
        <v>52</v>
      </c>
      <c r="BF345" s="3">
        <f>AH345-AE345</f>
        <v>28</v>
      </c>
    </row>
    <row r="346" spans="1:58" s="3" customFormat="1" x14ac:dyDescent="0.2">
      <c r="A346" s="3" t="s">
        <v>1673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4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20"/>
        <v>1</v>
      </c>
      <c r="AO346" s="3" t="str">
        <f>IF(ISERROR(MATCH(A346,'SegEnds_Xtal_Prot#'!B:B, 0)), "NoXtal", "Xtal")</f>
        <v>NoXtal</v>
      </c>
      <c r="AP346" s="3" t="str">
        <f t="shared" si="205"/>
        <v>-</v>
      </c>
      <c r="AQ346" s="3" t="str">
        <f t="shared" si="206"/>
        <v>-</v>
      </c>
      <c r="AR346" s="3" t="str">
        <f t="shared" si="207"/>
        <v>-</v>
      </c>
      <c r="AS346" s="3" t="str">
        <f t="shared" si="208"/>
        <v>-</v>
      </c>
      <c r="AT346" s="3" t="str">
        <f t="shared" si="209"/>
        <v>-</v>
      </c>
      <c r="AU346" s="3" t="str">
        <f t="shared" si="210"/>
        <v>-</v>
      </c>
      <c r="AV346" s="3">
        <f t="shared" si="211"/>
        <v>7</v>
      </c>
      <c r="AW346" s="3">
        <f t="shared" si="212"/>
        <v>3</v>
      </c>
      <c r="AX346" s="3">
        <f t="shared" si="213"/>
        <v>10</v>
      </c>
      <c r="AY346" s="3">
        <f t="shared" si="214"/>
        <v>7</v>
      </c>
      <c r="AZ346" s="3">
        <f t="shared" si="215"/>
        <v>1</v>
      </c>
      <c r="BA346" s="3">
        <f>IF(ISERROR(LEN(VLOOKUP(A346,Seqs!A:E,2,FALSE))-AL346),"-",LEN(VLOOKUP(A346,Seqs!A:E,2,FALSE))-AL346)</f>
        <v>380</v>
      </c>
      <c r="BB346" s="16">
        <f t="shared" si="216"/>
        <v>29</v>
      </c>
      <c r="BC346" s="9" t="str">
        <f t="shared" si="217"/>
        <v>-</v>
      </c>
      <c r="BD346" s="3">
        <f t="shared" si="218"/>
        <v>29</v>
      </c>
      <c r="BE346" s="3">
        <f t="shared" si="219"/>
        <v>50</v>
      </c>
    </row>
    <row r="347" spans="1:58" s="3" customFormat="1" x14ac:dyDescent="0.2">
      <c r="A347" s="3" t="s">
        <v>1675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4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20"/>
        <v>1</v>
      </c>
      <c r="AO347" s="3" t="str">
        <f>IF(ISERROR(MATCH(A347,'SegEnds_Xtal_Prot#'!B:B, 0)), "NoXtal", "Xtal")</f>
        <v>NoXtal</v>
      </c>
      <c r="AP347" s="3" t="str">
        <f t="shared" si="205"/>
        <v>-</v>
      </c>
      <c r="AQ347" s="3" t="str">
        <f t="shared" si="206"/>
        <v>-</v>
      </c>
      <c r="AR347" s="3" t="str">
        <f t="shared" si="207"/>
        <v>-</v>
      </c>
      <c r="AS347" s="3" t="str">
        <f t="shared" si="208"/>
        <v>-</v>
      </c>
      <c r="AT347" s="3" t="str">
        <f t="shared" si="209"/>
        <v>-</v>
      </c>
      <c r="AU347" s="3" t="str">
        <f t="shared" si="210"/>
        <v>-</v>
      </c>
      <c r="AV347" s="3">
        <f t="shared" si="211"/>
        <v>6</v>
      </c>
      <c r="AW347" s="3">
        <f t="shared" si="212"/>
        <v>3</v>
      </c>
      <c r="AX347" s="3">
        <f t="shared" si="213"/>
        <v>12</v>
      </c>
      <c r="AY347" s="3">
        <f t="shared" si="214"/>
        <v>6</v>
      </c>
      <c r="AZ347" s="3">
        <f t="shared" si="215"/>
        <v>1</v>
      </c>
      <c r="BA347" s="3">
        <f>IF(ISERROR(LEN(VLOOKUP(A347,Seqs!A:E,2,FALSE))-AL347),"-",LEN(VLOOKUP(A347,Seqs!A:E,2,FALSE))-AL347)</f>
        <v>29</v>
      </c>
      <c r="BB347" s="16">
        <f t="shared" si="216"/>
        <v>28</v>
      </c>
      <c r="BC347" s="9" t="str">
        <f t="shared" si="217"/>
        <v>-</v>
      </c>
      <c r="BD347" s="3">
        <f t="shared" si="218"/>
        <v>28</v>
      </c>
      <c r="BE347" s="3">
        <f t="shared" si="219"/>
        <v>52</v>
      </c>
      <c r="BF347" s="3">
        <f>AH347-AE347</f>
        <v>28</v>
      </c>
    </row>
    <row r="348" spans="1:58" s="3" customFormat="1" x14ac:dyDescent="0.2">
      <c r="A348" s="3" t="s">
        <v>413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1">G348+1</f>
        <v>2497</v>
      </c>
      <c r="I348" s="3">
        <f t="shared" si="221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4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20"/>
        <v>1</v>
      </c>
      <c r="AO348" s="3" t="str">
        <f>IF(ISERROR(MATCH(A348,'SegEnds_Xtal_Prot#'!B:B, 0)), "NoXtal", "Xtal")</f>
        <v>NoXtal</v>
      </c>
      <c r="AP348" s="3">
        <f t="shared" si="205"/>
        <v>1</v>
      </c>
      <c r="AQ348" s="3">
        <f t="shared" si="206"/>
        <v>1</v>
      </c>
      <c r="AR348" s="3" t="str">
        <f t="shared" si="207"/>
        <v>-</v>
      </c>
      <c r="AS348" s="3" t="str">
        <f t="shared" si="208"/>
        <v>-</v>
      </c>
      <c r="AT348" s="3" t="str">
        <f t="shared" si="209"/>
        <v>-</v>
      </c>
      <c r="AU348" s="3" t="str">
        <f t="shared" si="210"/>
        <v>-</v>
      </c>
      <c r="AV348" s="3">
        <f t="shared" si="211"/>
        <v>6</v>
      </c>
      <c r="AW348" s="3">
        <f t="shared" si="212"/>
        <v>3</v>
      </c>
      <c r="AX348" s="3">
        <f t="shared" si="213"/>
        <v>8</v>
      </c>
      <c r="AY348" s="3">
        <f t="shared" si="214"/>
        <v>6</v>
      </c>
      <c r="AZ348" s="3">
        <f t="shared" si="215"/>
        <v>1</v>
      </c>
      <c r="BA348" s="3">
        <f>IF(ISERROR(LEN(VLOOKUP(A348,Seqs!A:E,2,FALSE))-AL348),"-",LEN(VLOOKUP(A348,Seqs!A:E,2,FALSE))-AL348)</f>
        <v>293</v>
      </c>
      <c r="BB348" s="16">
        <f t="shared" si="216"/>
        <v>28</v>
      </c>
      <c r="BC348" s="9" t="str">
        <f t="shared" si="217"/>
        <v>-</v>
      </c>
      <c r="BD348" s="3">
        <f t="shared" si="218"/>
        <v>28</v>
      </c>
      <c r="BE348" s="3">
        <f t="shared" si="219"/>
        <v>48</v>
      </c>
    </row>
    <row r="349" spans="1:58" s="3" customFormat="1" x14ac:dyDescent="0.2">
      <c r="A349" s="3" t="s">
        <v>414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1"/>
        <v>2405</v>
      </c>
      <c r="I349" s="3">
        <f t="shared" si="221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4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20"/>
        <v>1</v>
      </c>
      <c r="AO349" s="3" t="str">
        <f>IF(ISERROR(MATCH(A349,'SegEnds_Xtal_Prot#'!B:B, 0)), "NoXtal", "Xtal")</f>
        <v>NoXtal</v>
      </c>
      <c r="AP349" s="3">
        <f t="shared" si="205"/>
        <v>1</v>
      </c>
      <c r="AQ349" s="3">
        <f t="shared" si="206"/>
        <v>1</v>
      </c>
      <c r="AR349" s="3" t="str">
        <f t="shared" si="207"/>
        <v>-</v>
      </c>
      <c r="AS349" s="3" t="str">
        <f t="shared" si="208"/>
        <v>-</v>
      </c>
      <c r="AT349" s="3" t="str">
        <f t="shared" si="209"/>
        <v>-</v>
      </c>
      <c r="AU349" s="3" t="str">
        <f t="shared" si="210"/>
        <v>-</v>
      </c>
      <c r="AV349" s="3">
        <f t="shared" si="211"/>
        <v>7</v>
      </c>
      <c r="AW349" s="3">
        <f t="shared" si="212"/>
        <v>3</v>
      </c>
      <c r="AX349" s="3">
        <f t="shared" si="213"/>
        <v>8</v>
      </c>
      <c r="AY349" s="3">
        <f t="shared" si="214"/>
        <v>6</v>
      </c>
      <c r="AZ349" s="3">
        <f t="shared" si="215"/>
        <v>1</v>
      </c>
      <c r="BA349" s="3">
        <f>IF(ISERROR(LEN(VLOOKUP(A349,Seqs!A:E,2,FALSE))-AL349),"-",LEN(VLOOKUP(A349,Seqs!A:E,2,FALSE))-AL349)</f>
        <v>294</v>
      </c>
      <c r="BB349" s="16">
        <f t="shared" si="216"/>
        <v>28</v>
      </c>
      <c r="BC349" s="9" t="str">
        <f t="shared" si="217"/>
        <v>-</v>
      </c>
      <c r="BD349" s="3">
        <f t="shared" si="218"/>
        <v>28</v>
      </c>
      <c r="BE349" s="3">
        <f t="shared" si="219"/>
        <v>48</v>
      </c>
    </row>
    <row r="350" spans="1:58" s="3" customFormat="1" x14ac:dyDescent="0.2">
      <c r="A350" s="3" t="s">
        <v>415</v>
      </c>
      <c r="B350" s="3" t="str">
        <f>LOWER(VLOOKUP(A350,Xtal_Templ!A:B,2,FALSE))</f>
        <v>crfr2_human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1"/>
        <v>2568</v>
      </c>
      <c r="I350" s="3">
        <f t="shared" si="221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2641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4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20"/>
        <v>1</v>
      </c>
      <c r="AO350" s="3" t="str">
        <f>IF(ISERROR(MATCH(A350,'SegEnds_Xtal_Prot#'!B:B, 0)), "NoXtal", "Xtal")</f>
        <v>NoXtal</v>
      </c>
      <c r="AP350" s="3">
        <f t="shared" si="205"/>
        <v>1</v>
      </c>
      <c r="AQ350" s="3">
        <f t="shared" si="206"/>
        <v>1</v>
      </c>
      <c r="AR350" s="3" t="str">
        <f t="shared" si="207"/>
        <v>-</v>
      </c>
      <c r="AS350" s="3" t="str">
        <f t="shared" si="208"/>
        <v>-</v>
      </c>
      <c r="AT350" s="3" t="str">
        <f t="shared" si="209"/>
        <v>-</v>
      </c>
      <c r="AU350" s="3" t="str">
        <f t="shared" si="210"/>
        <v>-</v>
      </c>
      <c r="AV350" s="3">
        <f t="shared" si="211"/>
        <v>6</v>
      </c>
      <c r="AW350" s="3">
        <f t="shared" si="212"/>
        <v>3</v>
      </c>
      <c r="AX350" s="3">
        <f t="shared" si="213"/>
        <v>7</v>
      </c>
      <c r="AY350" s="3">
        <f t="shared" si="214"/>
        <v>6</v>
      </c>
      <c r="AZ350" s="3">
        <f t="shared" si="215"/>
        <v>1</v>
      </c>
      <c r="BA350" s="3">
        <f>IF(ISERROR(LEN(VLOOKUP(A350,Seqs!A:E,2,FALSE))-AL350),"-",LEN(VLOOKUP(A350,Seqs!A:E,2,FALSE))-AL350)</f>
        <v>521</v>
      </c>
      <c r="BB350" s="16">
        <f t="shared" si="216"/>
        <v>28</v>
      </c>
      <c r="BC350" s="9" t="str">
        <f t="shared" si="217"/>
        <v>-</v>
      </c>
      <c r="BD350" s="3">
        <f t="shared" si="218"/>
        <v>28</v>
      </c>
      <c r="BE350" s="3">
        <f t="shared" si="219"/>
        <v>47</v>
      </c>
    </row>
    <row r="351" spans="1:58" s="3" customFormat="1" x14ac:dyDescent="0.2">
      <c r="A351" s="3" t="s">
        <v>1674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4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20"/>
        <v>1</v>
      </c>
      <c r="AO351" s="3" t="str">
        <f>IF(ISERROR(MATCH(A351,'SegEnds_Xtal_Prot#'!B:B, 0)), "NoXtal", "Xtal")</f>
        <v>NoXtal</v>
      </c>
      <c r="AP351" s="3" t="str">
        <f t="shared" si="205"/>
        <v>-</v>
      </c>
      <c r="AQ351" s="3" t="str">
        <f t="shared" si="206"/>
        <v>-</v>
      </c>
      <c r="AR351" s="3" t="str">
        <f t="shared" si="207"/>
        <v>-</v>
      </c>
      <c r="AS351" s="3" t="str">
        <f t="shared" si="208"/>
        <v>-</v>
      </c>
      <c r="AT351" s="3" t="str">
        <f t="shared" si="209"/>
        <v>-</v>
      </c>
      <c r="AU351" s="3" t="str">
        <f t="shared" si="210"/>
        <v>-</v>
      </c>
      <c r="AV351" s="3">
        <f t="shared" si="211"/>
        <v>16</v>
      </c>
      <c r="AW351" s="3">
        <f t="shared" si="212"/>
        <v>4</v>
      </c>
      <c r="AX351" s="3">
        <f t="shared" si="213"/>
        <v>9</v>
      </c>
      <c r="AY351" s="3">
        <f t="shared" si="214"/>
        <v>6</v>
      </c>
      <c r="AZ351" s="3">
        <f t="shared" si="215"/>
        <v>1</v>
      </c>
      <c r="BA351" s="3">
        <f>IF(ISERROR(LEN(VLOOKUP(A351,Seqs!A:E,2,FALSE))-AL351),"-",LEN(VLOOKUP(A351,Seqs!A:E,2,FALSE))-AL351)</f>
        <v>134</v>
      </c>
      <c r="BB351" s="16">
        <f t="shared" si="216"/>
        <v>26</v>
      </c>
      <c r="BC351" s="9" t="str">
        <f t="shared" si="217"/>
        <v>-</v>
      </c>
      <c r="BD351" s="3">
        <f t="shared" si="218"/>
        <v>26</v>
      </c>
      <c r="BE351" s="3">
        <f t="shared" si="219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2">G352-3</f>
        <v>640</v>
      </c>
      <c r="G352" s="3">
        <v>643</v>
      </c>
      <c r="H352" s="3">
        <f t="shared" ref="H352:H373" si="223">G352+3</f>
        <v>646</v>
      </c>
      <c r="I352" s="3">
        <f t="shared" ref="I352:I384" si="224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4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20"/>
        <v>1</v>
      </c>
      <c r="AO352" s="3" t="str">
        <f>IF(ISERROR(MATCH(A352,'SegEnds_Xtal_Prot#'!B:B, 0)), "NoXtal", "Xtal")</f>
        <v>NoXtal</v>
      </c>
      <c r="AP352" s="3">
        <f t="shared" si="205"/>
        <v>3</v>
      </c>
      <c r="AQ352" s="3">
        <f t="shared" si="206"/>
        <v>1</v>
      </c>
      <c r="AR352" s="3" t="str">
        <f t="shared" si="207"/>
        <v>-</v>
      </c>
      <c r="AS352" s="3" t="str">
        <f t="shared" si="208"/>
        <v>-</v>
      </c>
      <c r="AT352" s="3" t="str">
        <f t="shared" si="209"/>
        <v>-</v>
      </c>
      <c r="AU352" s="3" t="str">
        <f t="shared" si="210"/>
        <v>-</v>
      </c>
      <c r="AV352" s="3">
        <f t="shared" si="211"/>
        <v>19</v>
      </c>
      <c r="AW352" s="3">
        <f t="shared" si="212"/>
        <v>2</v>
      </c>
      <c r="AX352" s="3">
        <f t="shared" si="213"/>
        <v>9</v>
      </c>
      <c r="AY352" s="3">
        <f t="shared" si="214"/>
        <v>5</v>
      </c>
      <c r="AZ352" s="3">
        <f t="shared" si="215"/>
        <v>1</v>
      </c>
      <c r="BA352" s="3">
        <f>IF(ISERROR(LEN(VLOOKUP(A352,Seqs!A:E,2,FALSE))-AL352),"-",LEN(VLOOKUP(A352,Seqs!A:E,2,FALSE))-AL352)</f>
        <v>203</v>
      </c>
      <c r="BB352" s="16">
        <f t="shared" si="216"/>
        <v>31</v>
      </c>
      <c r="BC352" s="9" t="str">
        <f t="shared" si="217"/>
        <v>-</v>
      </c>
      <c r="BD352" s="3">
        <f t="shared" si="218"/>
        <v>31</v>
      </c>
      <c r="BE352" s="3">
        <f t="shared" si="219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grm5_human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2"/>
        <v>619</v>
      </c>
      <c r="G353" s="3">
        <v>622</v>
      </c>
      <c r="H353" s="3">
        <f t="shared" si="223"/>
        <v>625</v>
      </c>
      <c r="I353" s="3">
        <f t="shared" si="224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659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4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20"/>
        <v>1</v>
      </c>
      <c r="AO353" s="3" t="str">
        <f>IF(ISERROR(MATCH(A353,'SegEnds_Xtal_Prot#'!B:B, 0)), "NoXtal", "Xtal")</f>
        <v>NoXtal</v>
      </c>
      <c r="AP353" s="3">
        <f t="shared" si="205"/>
        <v>3</v>
      </c>
      <c r="AQ353" s="3">
        <f t="shared" si="206"/>
        <v>1</v>
      </c>
      <c r="AR353" s="3" t="str">
        <f t="shared" si="207"/>
        <v>-</v>
      </c>
      <c r="AS353" s="3" t="str">
        <f t="shared" si="208"/>
        <v>-</v>
      </c>
      <c r="AT353" s="3" t="str">
        <f t="shared" si="209"/>
        <v>-</v>
      </c>
      <c r="AU353" s="3" t="str">
        <f t="shared" si="210"/>
        <v>-</v>
      </c>
      <c r="AV353" s="3">
        <f t="shared" si="211"/>
        <v>29</v>
      </c>
      <c r="AW353" s="3">
        <f t="shared" si="212"/>
        <v>3</v>
      </c>
      <c r="AX353" s="3">
        <f t="shared" si="213"/>
        <v>10</v>
      </c>
      <c r="AY353" s="3">
        <f t="shared" si="214"/>
        <v>7</v>
      </c>
      <c r="AZ353" s="3">
        <f t="shared" si="215"/>
        <v>1</v>
      </c>
      <c r="BA353" s="3">
        <f>IF(ISERROR(LEN(VLOOKUP(A353,Seqs!A:E,2,FALSE))-AL353),"-",LEN(VLOOKUP(A353,Seqs!A:E,2,FALSE))-AL353)</f>
        <v>86</v>
      </c>
      <c r="BB353" s="16">
        <f t="shared" si="216"/>
        <v>31</v>
      </c>
      <c r="BC353" s="9" t="str">
        <f t="shared" si="217"/>
        <v>-</v>
      </c>
      <c r="BD353" s="3">
        <f t="shared" si="218"/>
        <v>31</v>
      </c>
      <c r="BE353" s="3">
        <f t="shared" si="219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2"/>
        <v>509</v>
      </c>
      <c r="G354" s="3">
        <v>512</v>
      </c>
      <c r="H354" s="3">
        <f t="shared" si="223"/>
        <v>515</v>
      </c>
      <c r="I354" s="3">
        <f t="shared" si="224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4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20"/>
        <v>1</v>
      </c>
      <c r="AO354" s="3" t="str">
        <f>IF(ISERROR(MATCH(A354,'SegEnds_Xtal_Prot#'!B:B, 0)), "NoXtal", "Xtal")</f>
        <v>NoXtal</v>
      </c>
      <c r="AP354" s="3">
        <f t="shared" si="205"/>
        <v>3</v>
      </c>
      <c r="AQ354" s="3">
        <f t="shared" si="206"/>
        <v>1</v>
      </c>
      <c r="AR354" s="3" t="str">
        <f t="shared" si="207"/>
        <v>-</v>
      </c>
      <c r="AS354" s="3" t="str">
        <f t="shared" si="208"/>
        <v>-</v>
      </c>
      <c r="AT354" s="3" t="str">
        <f t="shared" si="209"/>
        <v>-</v>
      </c>
      <c r="AU354" s="3" t="str">
        <f t="shared" si="210"/>
        <v>-</v>
      </c>
      <c r="AV354" s="3">
        <f t="shared" si="211"/>
        <v>29</v>
      </c>
      <c r="AW354" s="3">
        <f t="shared" si="212"/>
        <v>3</v>
      </c>
      <c r="AX354" s="3">
        <f t="shared" si="213"/>
        <v>10</v>
      </c>
      <c r="AY354" s="3">
        <f t="shared" si="214"/>
        <v>7</v>
      </c>
      <c r="AZ354" s="3">
        <f t="shared" si="215"/>
        <v>1</v>
      </c>
      <c r="BA354" s="3">
        <f>IF(ISERROR(LEN(VLOOKUP(A354,Seqs!A:E,2,FALSE))-AL354),"-",LEN(VLOOKUP(A354,Seqs!A:E,2,FALSE))-AL354)</f>
        <v>179</v>
      </c>
      <c r="BB354" s="16">
        <f t="shared" si="216"/>
        <v>31</v>
      </c>
      <c r="BC354" s="9" t="str">
        <f t="shared" si="217"/>
        <v>-</v>
      </c>
      <c r="BD354" s="3">
        <f t="shared" si="218"/>
        <v>31</v>
      </c>
      <c r="BE354" s="3">
        <f t="shared" si="219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2"/>
        <v>77</v>
      </c>
      <c r="G355" s="3">
        <v>80</v>
      </c>
      <c r="H355" s="3">
        <f t="shared" si="223"/>
        <v>83</v>
      </c>
      <c r="I355" s="3">
        <f t="shared" si="224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20"/>
        <v>1</v>
      </c>
      <c r="AO355" s="3" t="str">
        <f>IF(ISERROR(MATCH(A355,'SegEnds_Xtal_Prot#'!B:B, 0)), "NoXtal", "Xtal")</f>
        <v>NoXtal</v>
      </c>
      <c r="AP355" s="3">
        <f t="shared" si="205"/>
        <v>3</v>
      </c>
      <c r="AQ355" s="3">
        <f t="shared" si="206"/>
        <v>1</v>
      </c>
      <c r="AR355" s="3" t="str">
        <f t="shared" si="207"/>
        <v>-</v>
      </c>
      <c r="AS355" s="3" t="str">
        <f t="shared" si="208"/>
        <v>-</v>
      </c>
      <c r="AT355" s="3" t="str">
        <f t="shared" si="209"/>
        <v>-</v>
      </c>
      <c r="AU355" s="3" t="str">
        <f t="shared" si="210"/>
        <v>-</v>
      </c>
      <c r="AV355" s="3">
        <f t="shared" si="211"/>
        <v>29</v>
      </c>
      <c r="AW355" s="3">
        <f t="shared" si="212"/>
        <v>3</v>
      </c>
      <c r="AX355" s="3">
        <f t="shared" si="213"/>
        <v>11</v>
      </c>
      <c r="AY355" s="3">
        <f t="shared" si="214"/>
        <v>6</v>
      </c>
      <c r="AZ355" s="3">
        <f t="shared" si="215"/>
        <v>1</v>
      </c>
      <c r="BA355" s="3">
        <f>IF(ISERROR(LEN(VLOOKUP(A355,Seqs!A:E,2,FALSE))-AL355),"-",LEN(VLOOKUP(A355,Seqs!A:E,2,FALSE))-AL355)</f>
        <v>484</v>
      </c>
      <c r="BB355" s="16">
        <f t="shared" si="216"/>
        <v>31</v>
      </c>
      <c r="BC355" s="9" t="str">
        <f t="shared" si="217"/>
        <v>-</v>
      </c>
      <c r="BD355" s="3">
        <f t="shared" si="218"/>
        <v>31</v>
      </c>
      <c r="BE355" s="3">
        <f t="shared" si="219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2"/>
        <v>444</v>
      </c>
      <c r="G356" s="3">
        <v>447</v>
      </c>
      <c r="H356" s="3">
        <f t="shared" si="223"/>
        <v>450</v>
      </c>
      <c r="I356" s="3">
        <f t="shared" si="224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20"/>
        <v>1</v>
      </c>
      <c r="AO356" s="3" t="str">
        <f>IF(ISERROR(MATCH(A356,'SegEnds_Xtal_Prot#'!B:B, 0)), "NoXtal", "Xtal")</f>
        <v>NoXtal</v>
      </c>
      <c r="AP356" s="3">
        <f t="shared" si="205"/>
        <v>3</v>
      </c>
      <c r="AQ356" s="3">
        <f t="shared" si="206"/>
        <v>1</v>
      </c>
      <c r="AR356" s="3" t="str">
        <f t="shared" si="207"/>
        <v>-</v>
      </c>
      <c r="AS356" s="3" t="str">
        <f t="shared" si="208"/>
        <v>-</v>
      </c>
      <c r="AT356" s="3" t="str">
        <f t="shared" si="209"/>
        <v>-</v>
      </c>
      <c r="AU356" s="3" t="str">
        <f t="shared" si="210"/>
        <v>-</v>
      </c>
      <c r="AV356" s="3">
        <f t="shared" si="211"/>
        <v>35</v>
      </c>
      <c r="AW356" s="3">
        <f t="shared" si="212"/>
        <v>1</v>
      </c>
      <c r="AX356" s="3">
        <f t="shared" si="213"/>
        <v>9</v>
      </c>
      <c r="AY356" s="3">
        <f t="shared" si="214"/>
        <v>9</v>
      </c>
      <c r="AZ356" s="3">
        <f t="shared" si="215"/>
        <v>1</v>
      </c>
      <c r="BA356" s="3">
        <f>IF(ISERROR(LEN(VLOOKUP(A356,Seqs!A:E,2,FALSE))-AL356),"-",LEN(VLOOKUP(A356,Seqs!A:E,2,FALSE))-AL356)</f>
        <v>530</v>
      </c>
      <c r="BB356" s="16">
        <f t="shared" si="216"/>
        <v>31</v>
      </c>
      <c r="BC356" s="9" t="str">
        <f t="shared" si="217"/>
        <v>-</v>
      </c>
      <c r="BD356" s="3">
        <f t="shared" si="218"/>
        <v>31</v>
      </c>
      <c r="BE356" s="3">
        <f t="shared" si="219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2"/>
        <v>408</v>
      </c>
      <c r="G357" s="3">
        <v>411</v>
      </c>
      <c r="H357" s="3">
        <f t="shared" si="223"/>
        <v>414</v>
      </c>
      <c r="I357" s="3">
        <f t="shared" si="224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20"/>
        <v>1</v>
      </c>
      <c r="AO357" s="3" t="str">
        <f>IF(ISERROR(MATCH(A357,'SegEnds_Xtal_Prot#'!B:B, 0)), "NoXtal", "Xtal")</f>
        <v>NoXtal</v>
      </c>
      <c r="AP357" s="3">
        <f t="shared" si="205"/>
        <v>3</v>
      </c>
      <c r="AQ357" s="3">
        <f t="shared" si="206"/>
        <v>1</v>
      </c>
      <c r="AR357" s="3" t="str">
        <f t="shared" si="207"/>
        <v>-</v>
      </c>
      <c r="AS357" s="3" t="str">
        <f t="shared" si="208"/>
        <v>-</v>
      </c>
      <c r="AT357" s="3" t="str">
        <f t="shared" si="209"/>
        <v>-</v>
      </c>
      <c r="AU357" s="3" t="str">
        <f t="shared" si="210"/>
        <v>-</v>
      </c>
      <c r="AV357" s="3">
        <f t="shared" si="211"/>
        <v>35</v>
      </c>
      <c r="AW357" s="3">
        <f t="shared" si="212"/>
        <v>1</v>
      </c>
      <c r="AX357" s="3">
        <f t="shared" si="213"/>
        <v>9</v>
      </c>
      <c r="AY357" s="3">
        <f t="shared" si="214"/>
        <v>9</v>
      </c>
      <c r="AZ357" s="3">
        <f t="shared" si="215"/>
        <v>1</v>
      </c>
      <c r="BA357" s="3">
        <f>IF(ISERROR(LEN(VLOOKUP(A357,Seqs!A:E,2,FALSE))-AL357),"-",LEN(VLOOKUP(A357,Seqs!A:E,2,FALSE))-AL357)</f>
        <v>1718</v>
      </c>
      <c r="BB357" s="16">
        <f t="shared" si="216"/>
        <v>31</v>
      </c>
      <c r="BC357" s="9" t="str">
        <f t="shared" si="217"/>
        <v>-</v>
      </c>
      <c r="BD357" s="3">
        <f t="shared" si="218"/>
        <v>31</v>
      </c>
      <c r="BE357" s="3">
        <f t="shared" si="219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2"/>
        <v>81</v>
      </c>
      <c r="G358" s="3">
        <v>84</v>
      </c>
      <c r="H358" s="3">
        <f t="shared" si="223"/>
        <v>87</v>
      </c>
      <c r="I358" s="3">
        <f t="shared" si="224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20"/>
        <v>1</v>
      </c>
      <c r="AO358" s="3" t="str">
        <f>IF(ISERROR(MATCH(A358,'SegEnds_Xtal_Prot#'!B:B, 0)), "NoXtal", "Xtal")</f>
        <v>NoXtal</v>
      </c>
      <c r="AP358" s="3">
        <f t="shared" si="205"/>
        <v>1</v>
      </c>
      <c r="AQ358" s="3">
        <f t="shared" si="206"/>
        <v>1</v>
      </c>
      <c r="AR358" s="3" t="str">
        <f t="shared" si="207"/>
        <v>-</v>
      </c>
      <c r="AS358" s="3" t="str">
        <f t="shared" si="208"/>
        <v>-</v>
      </c>
      <c r="AT358" s="3" t="str">
        <f t="shared" si="209"/>
        <v>-</v>
      </c>
      <c r="AU358" s="3" t="str">
        <f t="shared" si="210"/>
        <v>-</v>
      </c>
      <c r="AV358" s="3">
        <f t="shared" si="211"/>
        <v>9</v>
      </c>
      <c r="AW358" s="3">
        <f t="shared" si="212"/>
        <v>1</v>
      </c>
      <c r="AX358" s="3">
        <f t="shared" si="213"/>
        <v>11</v>
      </c>
      <c r="AY358" s="3">
        <f t="shared" si="214"/>
        <v>11</v>
      </c>
      <c r="AZ358" s="3">
        <f t="shared" si="215"/>
        <v>2</v>
      </c>
      <c r="BA358" s="3">
        <f>IF(ISERROR(LEN(VLOOKUP(A358,Seqs!A:E,2,FALSE))-AL358),"-",LEN(VLOOKUP(A358,Seqs!A:E,2,FALSE))-AL358)</f>
        <v>92</v>
      </c>
      <c r="BB358" s="16">
        <f t="shared" si="216"/>
        <v>33</v>
      </c>
      <c r="BC358" s="9" t="str">
        <f t="shared" si="217"/>
        <v>-</v>
      </c>
      <c r="BD358" s="3">
        <f t="shared" si="218"/>
        <v>33</v>
      </c>
      <c r="BE358" s="3">
        <f t="shared" si="219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2"/>
        <v>75</v>
      </c>
      <c r="G359" s="3">
        <v>78</v>
      </c>
      <c r="H359" s="3">
        <f t="shared" si="223"/>
        <v>81</v>
      </c>
      <c r="I359" s="3">
        <f t="shared" si="224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20"/>
        <v>1</v>
      </c>
      <c r="AO359" s="3" t="str">
        <f>IF(ISERROR(MATCH(A359,'SegEnds_Xtal_Prot#'!B:B, 0)), "NoXtal", "Xtal")</f>
        <v>NoXtal</v>
      </c>
      <c r="AP359" s="3">
        <f t="shared" si="205"/>
        <v>1</v>
      </c>
      <c r="AQ359" s="3">
        <f t="shared" si="206"/>
        <v>1</v>
      </c>
      <c r="AR359" s="3" t="str">
        <f t="shared" si="207"/>
        <v>-</v>
      </c>
      <c r="AS359" s="3" t="str">
        <f t="shared" si="208"/>
        <v>-</v>
      </c>
      <c r="AT359" s="3" t="str">
        <f t="shared" si="209"/>
        <v>-</v>
      </c>
      <c r="AU359" s="3" t="str">
        <f t="shared" si="210"/>
        <v>-</v>
      </c>
      <c r="AV359" s="3">
        <f t="shared" si="211"/>
        <v>24</v>
      </c>
      <c r="AW359" s="3">
        <f t="shared" si="212"/>
        <v>1</v>
      </c>
      <c r="AX359" s="3">
        <f t="shared" si="213"/>
        <v>11</v>
      </c>
      <c r="AY359" s="3">
        <f t="shared" si="214"/>
        <v>10</v>
      </c>
      <c r="AZ359" s="3">
        <f t="shared" si="215"/>
        <v>2</v>
      </c>
      <c r="BA359" s="3">
        <f>IF(ISERROR(LEN(VLOOKUP(A359,Seqs!A:E,2,FALSE))-AL359),"-",LEN(VLOOKUP(A359,Seqs!A:E,2,FALSE))-AL359)</f>
        <v>122</v>
      </c>
      <c r="BB359" s="16">
        <f t="shared" si="216"/>
        <v>33</v>
      </c>
      <c r="BC359" s="9" t="str">
        <f t="shared" si="217"/>
        <v>-</v>
      </c>
      <c r="BD359" s="3">
        <f t="shared" si="218"/>
        <v>33</v>
      </c>
      <c r="BE359" s="3">
        <f t="shared" si="219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2"/>
        <v>48</v>
      </c>
      <c r="G360" s="3">
        <v>51</v>
      </c>
      <c r="H360" s="3">
        <f t="shared" si="223"/>
        <v>54</v>
      </c>
      <c r="I360" s="3">
        <f t="shared" si="224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20"/>
        <v>1</v>
      </c>
      <c r="AO360" s="3" t="str">
        <f>IF(ISERROR(MATCH(A360,'SegEnds_Xtal_Prot#'!B:B, 0)), "NoXtal", "Xtal")</f>
        <v>NoXtal</v>
      </c>
      <c r="AP360" s="3">
        <f t="shared" si="205"/>
        <v>1</v>
      </c>
      <c r="AQ360" s="3">
        <f t="shared" si="206"/>
        <v>1</v>
      </c>
      <c r="AR360" s="3" t="str">
        <f t="shared" si="207"/>
        <v>-</v>
      </c>
      <c r="AS360" s="3" t="str">
        <f t="shared" si="208"/>
        <v>-</v>
      </c>
      <c r="AT360" s="3" t="str">
        <f t="shared" si="209"/>
        <v>-</v>
      </c>
      <c r="AU360" s="3" t="str">
        <f t="shared" si="210"/>
        <v>-</v>
      </c>
      <c r="AV360" s="3">
        <f t="shared" si="211"/>
        <v>13</v>
      </c>
      <c r="AW360" s="3">
        <f t="shared" si="212"/>
        <v>1</v>
      </c>
      <c r="AX360" s="3">
        <f t="shared" si="213"/>
        <v>11</v>
      </c>
      <c r="AY360" s="3">
        <f t="shared" si="214"/>
        <v>11</v>
      </c>
      <c r="AZ360" s="3">
        <f t="shared" si="215"/>
        <v>3</v>
      </c>
      <c r="BA360" s="3">
        <f>IF(ISERROR(LEN(VLOOKUP(A360,Seqs!A:E,2,FALSE))-AL360),"-",LEN(VLOOKUP(A360,Seqs!A:E,2,FALSE))-AL360)</f>
        <v>64</v>
      </c>
      <c r="BB360" s="16">
        <f t="shared" si="216"/>
        <v>33</v>
      </c>
      <c r="BC360" s="9" t="str">
        <f t="shared" si="217"/>
        <v>-</v>
      </c>
      <c r="BD360" s="3">
        <f t="shared" si="218"/>
        <v>33</v>
      </c>
      <c r="BE360" s="3">
        <f t="shared" si="219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2"/>
        <v>621</v>
      </c>
      <c r="G361" s="3">
        <v>624</v>
      </c>
      <c r="H361" s="3">
        <f t="shared" si="223"/>
        <v>627</v>
      </c>
      <c r="I361" s="3">
        <f t="shared" si="224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5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20"/>
        <v>1</v>
      </c>
      <c r="AO361" s="3" t="str">
        <f>IF(ISERROR(MATCH(A361,'SegEnds_Xtal_Prot#'!B:B, 0)), "NoXtal", "Xtal")</f>
        <v>NoXtal</v>
      </c>
      <c r="AP361" s="3">
        <f t="shared" si="205"/>
        <v>3</v>
      </c>
      <c r="AQ361" s="3">
        <f t="shared" si="206"/>
        <v>1</v>
      </c>
      <c r="AR361" s="3" t="str">
        <f t="shared" si="207"/>
        <v>-</v>
      </c>
      <c r="AS361" s="3" t="str">
        <f t="shared" si="208"/>
        <v>-</v>
      </c>
      <c r="AT361" s="3" t="str">
        <f t="shared" si="209"/>
        <v>-</v>
      </c>
      <c r="AU361" s="3" t="str">
        <f t="shared" si="210"/>
        <v>-</v>
      </c>
      <c r="AV361" s="3">
        <f t="shared" si="211"/>
        <v>18</v>
      </c>
      <c r="AW361" s="3">
        <f t="shared" si="212"/>
        <v>2</v>
      </c>
      <c r="AX361" s="3">
        <f t="shared" si="213"/>
        <v>7</v>
      </c>
      <c r="AY361" s="3">
        <f t="shared" si="214"/>
        <v>5</v>
      </c>
      <c r="AZ361" s="3">
        <f t="shared" si="215"/>
        <v>1</v>
      </c>
      <c r="BA361" s="3">
        <f>IF(ISERROR(LEN(VLOOKUP(A361,Seqs!A:E,2,FALSE))-AL361),"-",LEN(VLOOKUP(A361,Seqs!A:E,2,FALSE))-AL361)</f>
        <v>74</v>
      </c>
      <c r="BB361" s="16">
        <f t="shared" si="216"/>
        <v>32</v>
      </c>
      <c r="BC361" s="9" t="str">
        <f t="shared" si="217"/>
        <v>-</v>
      </c>
      <c r="BD361" s="3">
        <f t="shared" si="218"/>
        <v>32</v>
      </c>
      <c r="BE361" s="3">
        <f t="shared" si="219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2"/>
        <v>620</v>
      </c>
      <c r="G362" s="3">
        <v>623</v>
      </c>
      <c r="H362" s="3">
        <f t="shared" si="223"/>
        <v>626</v>
      </c>
      <c r="I362" s="3">
        <f t="shared" si="224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5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20"/>
        <v>1</v>
      </c>
      <c r="AO362" s="3" t="str">
        <f>IF(ISERROR(MATCH(A362,'SegEnds_Xtal_Prot#'!B:B, 0)), "NoXtal", "Xtal")</f>
        <v>Xtal</v>
      </c>
      <c r="AP362" s="3">
        <f t="shared" si="205"/>
        <v>3</v>
      </c>
      <c r="AQ362" s="3">
        <f t="shared" si="206"/>
        <v>1</v>
      </c>
      <c r="AR362" s="3" t="str">
        <f t="shared" si="207"/>
        <v>-</v>
      </c>
      <c r="AS362" s="3" t="str">
        <f t="shared" si="208"/>
        <v>-</v>
      </c>
      <c r="AT362" s="3" t="str">
        <f t="shared" si="209"/>
        <v>-</v>
      </c>
      <c r="AU362" s="3" t="str">
        <f t="shared" si="210"/>
        <v>-</v>
      </c>
      <c r="AV362" s="3">
        <f t="shared" si="211"/>
        <v>18</v>
      </c>
      <c r="AW362" s="3">
        <f t="shared" si="212"/>
        <v>1</v>
      </c>
      <c r="AX362" s="3">
        <f t="shared" si="213"/>
        <v>9</v>
      </c>
      <c r="AY362" s="3">
        <f t="shared" si="214"/>
        <v>3</v>
      </c>
      <c r="AZ362" s="3">
        <f t="shared" si="215"/>
        <v>1</v>
      </c>
      <c r="BA362" s="3">
        <f>IF(ISERROR(LEN(VLOOKUP(A362,Seqs!A:E,2,FALSE))-AL362),"-",LEN(VLOOKUP(A362,Seqs!A:E,2,FALSE))-AL362)</f>
        <v>341</v>
      </c>
      <c r="BB362" s="16">
        <f t="shared" si="216"/>
        <v>31</v>
      </c>
      <c r="BC362" s="9" t="str">
        <f t="shared" si="217"/>
        <v>-</v>
      </c>
      <c r="BD362" s="3">
        <f t="shared" si="218"/>
        <v>31</v>
      </c>
      <c r="BE362" s="3">
        <f t="shared" si="219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2"/>
        <v>595</v>
      </c>
      <c r="G363" s="3">
        <v>598</v>
      </c>
      <c r="H363" s="3">
        <f t="shared" si="223"/>
        <v>601</v>
      </c>
      <c r="I363" s="3">
        <f t="shared" si="224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5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20"/>
        <v>1</v>
      </c>
      <c r="AO363" s="3" t="str">
        <f>IF(ISERROR(MATCH(A363,'SegEnds_Xtal_Prot#'!B:B, 0)), "NoXtal", "Xtal")</f>
        <v>NoXtal</v>
      </c>
      <c r="AP363" s="3">
        <f t="shared" si="205"/>
        <v>3</v>
      </c>
      <c r="AQ363" s="3">
        <f t="shared" si="206"/>
        <v>1</v>
      </c>
      <c r="AR363" s="3" t="str">
        <f t="shared" si="207"/>
        <v>-</v>
      </c>
      <c r="AS363" s="3" t="str">
        <f t="shared" si="208"/>
        <v>-</v>
      </c>
      <c r="AT363" s="3" t="str">
        <f t="shared" si="209"/>
        <v>-</v>
      </c>
      <c r="AU363" s="3" t="str">
        <f t="shared" si="210"/>
        <v>-</v>
      </c>
      <c r="AV363" s="3">
        <f t="shared" si="211"/>
        <v>20</v>
      </c>
      <c r="AW363" s="3">
        <f t="shared" si="212"/>
        <v>1</v>
      </c>
      <c r="AX363" s="3">
        <f t="shared" si="213"/>
        <v>9</v>
      </c>
      <c r="AY363" s="3">
        <f t="shared" si="214"/>
        <v>7</v>
      </c>
      <c r="AZ363" s="3">
        <f t="shared" si="215"/>
        <v>1</v>
      </c>
      <c r="BA363" s="3">
        <f>IF(ISERROR(LEN(VLOOKUP(A363,Seqs!A:E,2,FALSE))-AL363),"-",LEN(VLOOKUP(A363,Seqs!A:E,2,FALSE))-AL363)</f>
        <v>40</v>
      </c>
      <c r="BB363" s="16">
        <f t="shared" si="216"/>
        <v>31</v>
      </c>
      <c r="BC363" s="9" t="str">
        <f t="shared" si="217"/>
        <v>-</v>
      </c>
      <c r="BD363" s="3">
        <f t="shared" si="218"/>
        <v>31</v>
      </c>
      <c r="BE363" s="3">
        <f t="shared" si="219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2"/>
        <v>604</v>
      </c>
      <c r="G364" s="3">
        <v>607</v>
      </c>
      <c r="H364" s="3">
        <f t="shared" si="223"/>
        <v>610</v>
      </c>
      <c r="I364" s="3">
        <f t="shared" si="224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5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20"/>
        <v>1</v>
      </c>
      <c r="AO364" s="3" t="str">
        <f>IF(ISERROR(MATCH(A364,'SegEnds_Xtal_Prot#'!B:B, 0)), "NoXtal", "Xtal")</f>
        <v>NoXtal</v>
      </c>
      <c r="AP364" s="3">
        <f t="shared" si="205"/>
        <v>3</v>
      </c>
      <c r="AQ364" s="3">
        <f t="shared" si="206"/>
        <v>1</v>
      </c>
      <c r="AR364" s="3" t="str">
        <f t="shared" si="207"/>
        <v>-</v>
      </c>
      <c r="AS364" s="3" t="str">
        <f t="shared" si="208"/>
        <v>-</v>
      </c>
      <c r="AT364" s="3" t="str">
        <f t="shared" si="209"/>
        <v>-</v>
      </c>
      <c r="AU364" s="3" t="str">
        <f t="shared" si="210"/>
        <v>-</v>
      </c>
      <c r="AV364" s="3">
        <f t="shared" si="211"/>
        <v>20</v>
      </c>
      <c r="AW364" s="3">
        <f t="shared" si="212"/>
        <v>1</v>
      </c>
      <c r="AX364" s="3">
        <f t="shared" si="213"/>
        <v>9</v>
      </c>
      <c r="AY364" s="3">
        <f t="shared" si="214"/>
        <v>7</v>
      </c>
      <c r="AZ364" s="3">
        <f t="shared" si="215"/>
        <v>1</v>
      </c>
      <c r="BA364" s="3">
        <f>IF(ISERROR(LEN(VLOOKUP(A364,Seqs!A:E,2,FALSE))-AL364),"-",LEN(VLOOKUP(A364,Seqs!A:E,2,FALSE))-AL364)</f>
        <v>38</v>
      </c>
      <c r="BB364" s="16">
        <f t="shared" si="216"/>
        <v>31</v>
      </c>
      <c r="BC364" s="9" t="str">
        <f t="shared" si="217"/>
        <v>-</v>
      </c>
      <c r="BD364" s="3">
        <f t="shared" si="218"/>
        <v>31</v>
      </c>
      <c r="BE364" s="3">
        <f t="shared" si="219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2"/>
        <v>615</v>
      </c>
      <c r="G365" s="3">
        <v>618</v>
      </c>
      <c r="H365" s="3">
        <f t="shared" si="223"/>
        <v>621</v>
      </c>
      <c r="I365" s="3">
        <f t="shared" si="224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5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20"/>
        <v>1</v>
      </c>
      <c r="AO365" s="3" t="str">
        <f>IF(ISERROR(MATCH(A365,'SegEnds_Xtal_Prot#'!B:B, 0)), "NoXtal", "Xtal")</f>
        <v>NoXtal</v>
      </c>
      <c r="AP365" s="3">
        <f t="shared" si="205"/>
        <v>3</v>
      </c>
      <c r="AQ365" s="3">
        <f t="shared" si="206"/>
        <v>1</v>
      </c>
      <c r="AR365" s="3" t="str">
        <f t="shared" si="207"/>
        <v>-</v>
      </c>
      <c r="AS365" s="3" t="str">
        <f t="shared" si="208"/>
        <v>-</v>
      </c>
      <c r="AT365" s="3" t="str">
        <f t="shared" si="209"/>
        <v>-</v>
      </c>
      <c r="AU365" s="3" t="str">
        <f t="shared" si="210"/>
        <v>-</v>
      </c>
      <c r="AV365" s="3">
        <f t="shared" si="211"/>
        <v>25</v>
      </c>
      <c r="AW365" s="3">
        <f t="shared" si="212"/>
        <v>1</v>
      </c>
      <c r="AX365" s="3">
        <f t="shared" si="213"/>
        <v>9</v>
      </c>
      <c r="AY365" s="3">
        <f t="shared" si="214"/>
        <v>10</v>
      </c>
      <c r="AZ365" s="3">
        <f t="shared" si="215"/>
        <v>1</v>
      </c>
      <c r="BA365" s="3">
        <f>IF(ISERROR(LEN(VLOOKUP(A365,Seqs!A:E,2,FALSE))-AL365),"-",LEN(VLOOKUP(A365,Seqs!A:E,2,FALSE))-AL365)</f>
        <v>52</v>
      </c>
      <c r="BB365" s="16">
        <f t="shared" si="216"/>
        <v>31</v>
      </c>
      <c r="BC365" s="9" t="str">
        <f t="shared" si="217"/>
        <v>-</v>
      </c>
      <c r="BD365" s="3">
        <f t="shared" si="218"/>
        <v>31</v>
      </c>
      <c r="BE365" s="3">
        <f t="shared" si="219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2"/>
        <v>607</v>
      </c>
      <c r="G366" s="3">
        <v>610</v>
      </c>
      <c r="H366" s="3">
        <f t="shared" si="223"/>
        <v>613</v>
      </c>
      <c r="I366" s="3">
        <f t="shared" si="224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5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20"/>
        <v>1</v>
      </c>
      <c r="AO366" s="3" t="str">
        <f>IF(ISERROR(MATCH(A366,'SegEnds_Xtal_Prot#'!B:B, 0)), "NoXtal", "Xtal")</f>
        <v>Xtal</v>
      </c>
      <c r="AP366" s="3">
        <f t="shared" si="205"/>
        <v>3</v>
      </c>
      <c r="AQ366" s="3">
        <f t="shared" si="206"/>
        <v>1</v>
      </c>
      <c r="AR366" s="3" t="str">
        <f t="shared" si="207"/>
        <v>-</v>
      </c>
      <c r="AS366" s="3" t="str">
        <f t="shared" si="208"/>
        <v>-</v>
      </c>
      <c r="AT366" s="3" t="str">
        <f t="shared" si="209"/>
        <v>-</v>
      </c>
      <c r="AU366" s="3" t="str">
        <f t="shared" si="210"/>
        <v>-</v>
      </c>
      <c r="AV366" s="3">
        <f t="shared" si="211"/>
        <v>18</v>
      </c>
      <c r="AW366" s="3">
        <f t="shared" si="212"/>
        <v>1</v>
      </c>
      <c r="AX366" s="3">
        <f t="shared" si="213"/>
        <v>9</v>
      </c>
      <c r="AY366" s="3">
        <f t="shared" si="214"/>
        <v>3</v>
      </c>
      <c r="AZ366" s="3">
        <f t="shared" si="215"/>
        <v>1</v>
      </c>
      <c r="BA366" s="3">
        <f>IF(ISERROR(LEN(VLOOKUP(A366,Seqs!A:E,2,FALSE))-AL366),"-",LEN(VLOOKUP(A366,Seqs!A:E,2,FALSE))-AL366)</f>
        <v>372</v>
      </c>
      <c r="BB366" s="16">
        <f t="shared" si="216"/>
        <v>31</v>
      </c>
      <c r="BC366" s="9" t="str">
        <f t="shared" si="217"/>
        <v>-</v>
      </c>
      <c r="BD366" s="3">
        <f t="shared" si="218"/>
        <v>31</v>
      </c>
      <c r="BE366" s="3">
        <f t="shared" si="219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2"/>
        <v>613</v>
      </c>
      <c r="G367" s="3">
        <v>616</v>
      </c>
      <c r="H367" s="3">
        <f t="shared" si="223"/>
        <v>619</v>
      </c>
      <c r="I367" s="3">
        <f t="shared" si="224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5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20"/>
        <v>1</v>
      </c>
      <c r="AO367" s="3" t="str">
        <f>IF(ISERROR(MATCH(A367,'SegEnds_Xtal_Prot#'!B:B, 0)), "NoXtal", "Xtal")</f>
        <v>NoXtal</v>
      </c>
      <c r="AP367" s="3">
        <f t="shared" si="205"/>
        <v>3</v>
      </c>
      <c r="AQ367" s="3">
        <f t="shared" si="206"/>
        <v>1</v>
      </c>
      <c r="AR367" s="3" t="str">
        <f t="shared" si="207"/>
        <v>-</v>
      </c>
      <c r="AS367" s="3" t="str">
        <f t="shared" si="208"/>
        <v>-</v>
      </c>
      <c r="AT367" s="3" t="str">
        <f t="shared" si="209"/>
        <v>-</v>
      </c>
      <c r="AU367" s="3" t="str">
        <f t="shared" si="210"/>
        <v>-</v>
      </c>
      <c r="AV367" s="3">
        <f t="shared" si="211"/>
        <v>25</v>
      </c>
      <c r="AW367" s="3">
        <f t="shared" si="212"/>
        <v>1</v>
      </c>
      <c r="AX367" s="3">
        <f t="shared" si="213"/>
        <v>9</v>
      </c>
      <c r="AY367" s="3">
        <f t="shared" si="214"/>
        <v>10</v>
      </c>
      <c r="AZ367" s="3">
        <f t="shared" si="215"/>
        <v>1</v>
      </c>
      <c r="BA367" s="3">
        <f>IF(ISERROR(LEN(VLOOKUP(A367,Seqs!A:E,2,FALSE))-AL367),"-",LEN(VLOOKUP(A367,Seqs!A:E,2,FALSE))-AL367)</f>
        <v>19</v>
      </c>
      <c r="BB367" s="16">
        <f t="shared" si="216"/>
        <v>31</v>
      </c>
      <c r="BC367" s="9" t="str">
        <f t="shared" si="217"/>
        <v>-</v>
      </c>
      <c r="BD367" s="3">
        <f t="shared" si="218"/>
        <v>31</v>
      </c>
      <c r="BE367" s="3">
        <f t="shared" si="219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2"/>
        <v>618</v>
      </c>
      <c r="G368" s="3">
        <v>621</v>
      </c>
      <c r="H368" s="3">
        <f t="shared" si="223"/>
        <v>624</v>
      </c>
      <c r="I368" s="3">
        <f t="shared" si="224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5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20"/>
        <v>1</v>
      </c>
      <c r="AO368" s="3" t="str">
        <f>IF(ISERROR(MATCH(A368,'SegEnds_Xtal_Prot#'!B:B, 0)), "NoXtal", "Xtal")</f>
        <v>NoXtal</v>
      </c>
      <c r="AP368" s="3">
        <f t="shared" si="205"/>
        <v>3</v>
      </c>
      <c r="AQ368" s="3">
        <f t="shared" si="206"/>
        <v>1</v>
      </c>
      <c r="AR368" s="3" t="str">
        <f t="shared" si="207"/>
        <v>-</v>
      </c>
      <c r="AS368" s="3" t="str">
        <f t="shared" si="208"/>
        <v>-</v>
      </c>
      <c r="AT368" s="3" t="str">
        <f t="shared" si="209"/>
        <v>-</v>
      </c>
      <c r="AU368" s="3" t="str">
        <f t="shared" si="210"/>
        <v>-</v>
      </c>
      <c r="AV368" s="3">
        <f t="shared" si="211"/>
        <v>25</v>
      </c>
      <c r="AW368" s="3">
        <f t="shared" si="212"/>
        <v>1</v>
      </c>
      <c r="AX368" s="3">
        <f t="shared" si="213"/>
        <v>9</v>
      </c>
      <c r="AY368" s="3">
        <f t="shared" si="214"/>
        <v>10</v>
      </c>
      <c r="AZ368" s="3">
        <f t="shared" si="215"/>
        <v>1</v>
      </c>
      <c r="BA368" s="3">
        <f>IF(ISERROR(LEN(VLOOKUP(A368,Seqs!A:E,2,FALSE))-AL368),"-",LEN(VLOOKUP(A368,Seqs!A:E,2,FALSE))-AL368)</f>
        <v>52</v>
      </c>
      <c r="BB368" s="16">
        <f t="shared" si="216"/>
        <v>31</v>
      </c>
      <c r="BC368" s="9" t="str">
        <f t="shared" si="217"/>
        <v>-</v>
      </c>
      <c r="BD368" s="3">
        <f t="shared" si="218"/>
        <v>31</v>
      </c>
      <c r="BE368" s="3">
        <f t="shared" si="219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2"/>
        <v>611</v>
      </c>
      <c r="G369" s="3">
        <v>614</v>
      </c>
      <c r="H369" s="3">
        <f t="shared" si="223"/>
        <v>617</v>
      </c>
      <c r="I369" s="3">
        <f t="shared" si="224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5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20"/>
        <v>1</v>
      </c>
      <c r="AO369" s="3" t="str">
        <f>IF(ISERROR(MATCH(A369,'SegEnds_Xtal_Prot#'!B:B, 0)), "NoXtal", "Xtal")</f>
        <v>NoXtal</v>
      </c>
      <c r="AP369" s="3">
        <f t="shared" si="205"/>
        <v>3</v>
      </c>
      <c r="AQ369" s="3">
        <f t="shared" si="206"/>
        <v>1</v>
      </c>
      <c r="AR369" s="3" t="str">
        <f t="shared" si="207"/>
        <v>-</v>
      </c>
      <c r="AS369" s="3" t="str">
        <f t="shared" si="208"/>
        <v>-</v>
      </c>
      <c r="AT369" s="3" t="str">
        <f t="shared" si="209"/>
        <v>-</v>
      </c>
      <c r="AU369" s="3" t="str">
        <f t="shared" si="210"/>
        <v>-</v>
      </c>
      <c r="AV369" s="3">
        <f t="shared" si="211"/>
        <v>25</v>
      </c>
      <c r="AW369" s="3">
        <f t="shared" si="212"/>
        <v>1</v>
      </c>
      <c r="AX369" s="3">
        <f t="shared" si="213"/>
        <v>9</v>
      </c>
      <c r="AY369" s="3">
        <f t="shared" si="214"/>
        <v>10</v>
      </c>
      <c r="AZ369" s="3">
        <f t="shared" si="215"/>
        <v>1</v>
      </c>
      <c r="BA369" s="3">
        <f>IF(ISERROR(LEN(VLOOKUP(A369,Seqs!A:E,2,FALSE))-AL369),"-",LEN(VLOOKUP(A369,Seqs!A:E,2,FALSE))-AL369)</f>
        <v>52</v>
      </c>
      <c r="BB369" s="16">
        <f t="shared" si="216"/>
        <v>31</v>
      </c>
      <c r="BC369" s="9" t="str">
        <f t="shared" si="217"/>
        <v>-</v>
      </c>
      <c r="BD369" s="3">
        <f t="shared" si="218"/>
        <v>31</v>
      </c>
      <c r="BE369" s="3">
        <f t="shared" si="219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2"/>
        <v>53</v>
      </c>
      <c r="G370" s="3">
        <v>56</v>
      </c>
      <c r="H370" s="3">
        <f t="shared" si="223"/>
        <v>59</v>
      </c>
      <c r="I370" s="3">
        <f t="shared" si="224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20"/>
        <v>1</v>
      </c>
      <c r="AO370" s="3" t="str">
        <f>IF(ISERROR(MATCH(A370,'SegEnds_Xtal_Prot#'!B:B, 0)), "NoXtal", "Xtal")</f>
        <v>NoXtal</v>
      </c>
      <c r="AP370" s="3">
        <f t="shared" si="205"/>
        <v>1</v>
      </c>
      <c r="AQ370" s="3">
        <f t="shared" si="206"/>
        <v>1</v>
      </c>
      <c r="AR370" s="3" t="str">
        <f t="shared" si="207"/>
        <v>-</v>
      </c>
      <c r="AS370" s="3" t="str">
        <f t="shared" si="208"/>
        <v>-</v>
      </c>
      <c r="AT370" s="3" t="str">
        <f t="shared" si="209"/>
        <v>-</v>
      </c>
      <c r="AU370" s="3" t="str">
        <f t="shared" si="210"/>
        <v>-</v>
      </c>
      <c r="AV370" s="3" t="str">
        <f t="shared" si="211"/>
        <v>-</v>
      </c>
      <c r="AW370" s="3" t="str">
        <f t="shared" si="212"/>
        <v>-</v>
      </c>
      <c r="AX370" s="3">
        <f t="shared" si="213"/>
        <v>11</v>
      </c>
      <c r="AY370" s="3">
        <f t="shared" si="214"/>
        <v>7</v>
      </c>
      <c r="AZ370" s="3">
        <f t="shared" si="215"/>
        <v>2</v>
      </c>
      <c r="BA370" s="3">
        <f>IF(ISERROR(LEN(VLOOKUP(A370,Seqs!A:E,2,FALSE))-AL370),"-",LEN(VLOOKUP(A370,Seqs!A:E,2,FALSE))-AL370)</f>
        <v>72</v>
      </c>
      <c r="BB370" s="16">
        <f t="shared" si="216"/>
        <v>33</v>
      </c>
      <c r="BC370" s="9" t="str">
        <f t="shared" si="217"/>
        <v>-</v>
      </c>
      <c r="BD370" s="3">
        <f t="shared" si="218"/>
        <v>33</v>
      </c>
      <c r="BE370" s="3">
        <f t="shared" si="219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2"/>
        <v>594</v>
      </c>
      <c r="G371" s="3">
        <v>597</v>
      </c>
      <c r="H371" s="3">
        <f t="shared" si="223"/>
        <v>600</v>
      </c>
      <c r="I371" s="3">
        <f t="shared" si="224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6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20"/>
        <v>1</v>
      </c>
      <c r="AO371" s="3" t="str">
        <f>IF(ISERROR(MATCH(A371,'SegEnds_Xtal_Prot#'!B:B, 0)), "NoXtal", "Xtal")</f>
        <v>NoXtal</v>
      </c>
      <c r="AP371" s="3">
        <f t="shared" si="205"/>
        <v>3</v>
      </c>
      <c r="AQ371" s="3">
        <f t="shared" si="206"/>
        <v>1</v>
      </c>
      <c r="AR371" s="3" t="str">
        <f t="shared" si="207"/>
        <v>-</v>
      </c>
      <c r="AS371" s="3" t="str">
        <f t="shared" si="208"/>
        <v>-</v>
      </c>
      <c r="AT371" s="3" t="str">
        <f t="shared" si="209"/>
        <v>-</v>
      </c>
      <c r="AU371" s="3" t="str">
        <f t="shared" si="210"/>
        <v>-</v>
      </c>
      <c r="AV371" s="3">
        <f t="shared" si="211"/>
        <v>19</v>
      </c>
      <c r="AW371" s="3">
        <f t="shared" si="212"/>
        <v>2</v>
      </c>
      <c r="AX371" s="3">
        <f t="shared" si="213"/>
        <v>9</v>
      </c>
      <c r="AY371" s="3">
        <f t="shared" si="214"/>
        <v>5</v>
      </c>
      <c r="AZ371" s="3">
        <f t="shared" si="215"/>
        <v>1</v>
      </c>
      <c r="BA371" s="3">
        <f>IF(ISERROR(LEN(VLOOKUP(A371,Seqs!A:E,2,FALSE))-AL371),"-",LEN(VLOOKUP(A371,Seqs!A:E,2,FALSE))-AL371)</f>
        <v>11</v>
      </c>
      <c r="BB371" s="16">
        <f t="shared" si="216"/>
        <v>31</v>
      </c>
      <c r="BC371" s="9" t="str">
        <f t="shared" si="217"/>
        <v>-</v>
      </c>
      <c r="BD371" s="3">
        <f t="shared" si="218"/>
        <v>31</v>
      </c>
      <c r="BE371" s="3">
        <f t="shared" si="219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2"/>
        <v>593</v>
      </c>
      <c r="G372" s="3">
        <v>596</v>
      </c>
      <c r="H372" s="3">
        <f t="shared" si="223"/>
        <v>599</v>
      </c>
      <c r="I372" s="3">
        <f t="shared" si="224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6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20"/>
        <v>1</v>
      </c>
      <c r="AO372" s="3" t="str">
        <f>IF(ISERROR(MATCH(A372,'SegEnds_Xtal_Prot#'!B:B, 0)), "NoXtal", "Xtal")</f>
        <v>NoXtal</v>
      </c>
      <c r="AP372" s="3">
        <f t="shared" si="205"/>
        <v>3</v>
      </c>
      <c r="AQ372" s="3">
        <f t="shared" si="206"/>
        <v>1</v>
      </c>
      <c r="AR372" s="3" t="str">
        <f t="shared" si="207"/>
        <v>-</v>
      </c>
      <c r="AS372" s="3" t="str">
        <f t="shared" si="208"/>
        <v>-</v>
      </c>
      <c r="AT372" s="3" t="str">
        <f t="shared" si="209"/>
        <v>-</v>
      </c>
      <c r="AU372" s="3" t="str">
        <f t="shared" si="210"/>
        <v>-</v>
      </c>
      <c r="AV372" s="3">
        <f t="shared" si="211"/>
        <v>20</v>
      </c>
      <c r="AW372" s="3">
        <f t="shared" si="212"/>
        <v>2</v>
      </c>
      <c r="AX372" s="3">
        <f t="shared" si="213"/>
        <v>9</v>
      </c>
      <c r="AY372" s="3">
        <f t="shared" si="214"/>
        <v>5</v>
      </c>
      <c r="AZ372" s="3">
        <f t="shared" si="215"/>
        <v>1</v>
      </c>
      <c r="BA372" s="3">
        <f>IF(ISERROR(LEN(VLOOKUP(A372,Seqs!A:E,2,FALSE))-AL372),"-",LEN(VLOOKUP(A372,Seqs!A:E,2,FALSE))-AL372)</f>
        <v>9</v>
      </c>
      <c r="BB372" s="16">
        <f t="shared" si="216"/>
        <v>31</v>
      </c>
      <c r="BC372" s="9" t="str">
        <f t="shared" si="217"/>
        <v>-</v>
      </c>
      <c r="BD372" s="3">
        <f t="shared" si="218"/>
        <v>31</v>
      </c>
      <c r="BE372" s="3">
        <f t="shared" si="219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2"/>
        <v>596</v>
      </c>
      <c r="G373" s="3">
        <v>599</v>
      </c>
      <c r="H373" s="3">
        <f t="shared" si="223"/>
        <v>602</v>
      </c>
      <c r="I373" s="3">
        <f t="shared" si="224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6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20"/>
        <v>1</v>
      </c>
      <c r="AO373" s="3" t="str">
        <f>IF(ISERROR(MATCH(A373,'SegEnds_Xtal_Prot#'!B:B, 0)), "NoXtal", "Xtal")</f>
        <v>NoXtal</v>
      </c>
      <c r="AP373" s="3">
        <f t="shared" si="205"/>
        <v>3</v>
      </c>
      <c r="AQ373" s="3">
        <f t="shared" si="206"/>
        <v>1</v>
      </c>
      <c r="AR373" s="3" t="str">
        <f t="shared" si="207"/>
        <v>-</v>
      </c>
      <c r="AS373" s="3" t="str">
        <f t="shared" si="208"/>
        <v>-</v>
      </c>
      <c r="AT373" s="3" t="str">
        <f t="shared" si="209"/>
        <v>-</v>
      </c>
      <c r="AU373" s="3" t="str">
        <f t="shared" si="210"/>
        <v>-</v>
      </c>
      <c r="AV373" s="3">
        <f t="shared" si="211"/>
        <v>19</v>
      </c>
      <c r="AW373" s="3">
        <f t="shared" si="212"/>
        <v>2</v>
      </c>
      <c r="AX373" s="3">
        <f t="shared" si="213"/>
        <v>9</v>
      </c>
      <c r="AY373" s="3">
        <f t="shared" si="214"/>
        <v>5</v>
      </c>
      <c r="AZ373" s="3">
        <f t="shared" si="215"/>
        <v>1</v>
      </c>
      <c r="BA373" s="3">
        <f>IF(ISERROR(LEN(VLOOKUP(A373,Seqs!A:E,2,FALSE))-AL373),"-",LEN(VLOOKUP(A373,Seqs!A:E,2,FALSE))-AL373)</f>
        <v>20</v>
      </c>
      <c r="BB373" s="16">
        <f t="shared" si="216"/>
        <v>31</v>
      </c>
      <c r="BC373" s="9" t="str">
        <f t="shared" si="217"/>
        <v>-</v>
      </c>
      <c r="BD373" s="3">
        <f t="shared" si="218"/>
        <v>31</v>
      </c>
      <c r="BE373" s="3">
        <f t="shared" si="219"/>
        <v>37</v>
      </c>
      <c r="BF373" s="3">
        <f>AH373-AE373</f>
        <v>29</v>
      </c>
    </row>
    <row r="374" spans="1:58" s="3" customFormat="1" x14ac:dyDescent="0.2">
      <c r="A374" s="3" t="s">
        <v>440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2"/>
        <v>345</v>
      </c>
      <c r="G374" s="3">
        <v>348</v>
      </c>
      <c r="H374" s="3">
        <f t="shared" ref="H374:H384" si="227">G374+1</f>
        <v>349</v>
      </c>
      <c r="I374" s="3">
        <f t="shared" si="224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6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20"/>
        <v>1</v>
      </c>
      <c r="AO374" s="3" t="str">
        <f>IF(ISERROR(MATCH(A374,'SegEnds_Xtal_Prot#'!B:B, 0)), "NoXtal", "Xtal")</f>
        <v>NoXtal</v>
      </c>
      <c r="AP374" s="3">
        <f t="shared" si="205"/>
        <v>1</v>
      </c>
      <c r="AQ374" s="3">
        <f t="shared" si="206"/>
        <v>1</v>
      </c>
      <c r="AR374" s="3" t="str">
        <f t="shared" si="207"/>
        <v>-</v>
      </c>
      <c r="AS374" s="3" t="str">
        <f t="shared" si="208"/>
        <v>-</v>
      </c>
      <c r="AT374" s="3" t="str">
        <f t="shared" si="209"/>
        <v>-</v>
      </c>
      <c r="AU374" s="3" t="str">
        <f t="shared" si="210"/>
        <v>-</v>
      </c>
      <c r="AV374" s="3">
        <f t="shared" si="211"/>
        <v>11</v>
      </c>
      <c r="AW374" s="3">
        <f t="shared" si="212"/>
        <v>4</v>
      </c>
      <c r="AX374" s="3">
        <f t="shared" si="213"/>
        <v>11</v>
      </c>
      <c r="AY374" s="3">
        <f t="shared" si="214"/>
        <v>18</v>
      </c>
      <c r="AZ374" s="3">
        <f t="shared" si="215"/>
        <v>1</v>
      </c>
      <c r="BA374" s="3">
        <f>IF(ISERROR(LEN(VLOOKUP(A374,Seqs!A:E,2,FALSE))-AL374),"-",LEN(VLOOKUP(A374,Seqs!A:E,2,FALSE))-AL374)</f>
        <v>9</v>
      </c>
      <c r="BB374" s="16">
        <f t="shared" si="216"/>
        <v>26</v>
      </c>
      <c r="BC374" s="9" t="str">
        <f t="shared" si="217"/>
        <v>-</v>
      </c>
      <c r="BD374" s="3">
        <f t="shared" si="218"/>
        <v>26</v>
      </c>
      <c r="BE374" s="3">
        <f t="shared" si="219"/>
        <v>55</v>
      </c>
      <c r="BF374" s="3">
        <f>AH374-AE374</f>
        <v>62</v>
      </c>
    </row>
    <row r="375" spans="1:58" s="3" customFormat="1" x14ac:dyDescent="0.2">
      <c r="A375" s="3" t="s">
        <v>441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2"/>
        <v>253</v>
      </c>
      <c r="G375" s="3">
        <v>256</v>
      </c>
      <c r="H375" s="3">
        <f t="shared" si="227"/>
        <v>257</v>
      </c>
      <c r="I375" s="3">
        <f t="shared" si="224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6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20"/>
        <v>1</v>
      </c>
      <c r="AO375" s="3" t="str">
        <f>IF(ISERROR(MATCH(A375,'SegEnds_Xtal_Prot#'!B:B, 0)), "NoXtal", "Xtal")</f>
        <v>NoXtal</v>
      </c>
      <c r="AP375" s="3">
        <f t="shared" si="205"/>
        <v>1</v>
      </c>
      <c r="AQ375" s="3">
        <f t="shared" si="206"/>
        <v>1</v>
      </c>
      <c r="AR375" s="3" t="str">
        <f t="shared" si="207"/>
        <v>-</v>
      </c>
      <c r="AS375" s="3" t="str">
        <f t="shared" si="208"/>
        <v>-</v>
      </c>
      <c r="AT375" s="3" t="str">
        <f t="shared" si="209"/>
        <v>-</v>
      </c>
      <c r="AU375" s="3" t="str">
        <f t="shared" si="210"/>
        <v>-</v>
      </c>
      <c r="AV375" s="3">
        <f t="shared" si="211"/>
        <v>11</v>
      </c>
      <c r="AW375" s="3">
        <f t="shared" si="212"/>
        <v>4</v>
      </c>
      <c r="AX375" s="3">
        <f t="shared" si="213"/>
        <v>11</v>
      </c>
      <c r="AY375" s="3">
        <f t="shared" si="214"/>
        <v>12</v>
      </c>
      <c r="AZ375" s="3">
        <f t="shared" si="215"/>
        <v>1</v>
      </c>
      <c r="BA375" s="3">
        <f>IF(ISERROR(LEN(VLOOKUP(A375,Seqs!A:E,2,FALSE))-AL375),"-",LEN(VLOOKUP(A375,Seqs!A:E,2,FALSE))-AL375)</f>
        <v>42</v>
      </c>
      <c r="BB375" s="16">
        <f t="shared" si="216"/>
        <v>26</v>
      </c>
      <c r="BC375" s="9" t="str">
        <f t="shared" si="217"/>
        <v>-</v>
      </c>
      <c r="BD375" s="3">
        <f t="shared" si="218"/>
        <v>26</v>
      </c>
      <c r="BE375" s="3">
        <f t="shared" si="219"/>
        <v>55</v>
      </c>
    </row>
    <row r="376" spans="1:58" s="3" customFormat="1" x14ac:dyDescent="0.2">
      <c r="A376" s="3" t="s">
        <v>442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2"/>
        <v>270</v>
      </c>
      <c r="G376" s="3">
        <v>273</v>
      </c>
      <c r="H376" s="3">
        <f t="shared" si="227"/>
        <v>274</v>
      </c>
      <c r="I376" s="3">
        <f t="shared" si="224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6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20"/>
        <v>1</v>
      </c>
      <c r="AO376" s="3" t="str">
        <f>IF(ISERROR(MATCH(A376,'SegEnds_Xtal_Prot#'!B:B, 0)), "NoXtal", "Xtal")</f>
        <v>NoXtal</v>
      </c>
      <c r="AP376" s="3">
        <f t="shared" si="205"/>
        <v>1</v>
      </c>
      <c r="AQ376" s="3">
        <f t="shared" si="206"/>
        <v>1</v>
      </c>
      <c r="AR376" s="3" t="str">
        <f t="shared" si="207"/>
        <v>-</v>
      </c>
      <c r="AS376" s="3" t="str">
        <f t="shared" si="208"/>
        <v>-</v>
      </c>
      <c r="AT376" s="3" t="str">
        <f t="shared" si="209"/>
        <v>-</v>
      </c>
      <c r="AU376" s="3" t="str">
        <f t="shared" si="210"/>
        <v>-</v>
      </c>
      <c r="AV376" s="3">
        <f t="shared" si="211"/>
        <v>11</v>
      </c>
      <c r="AW376" s="3">
        <f t="shared" si="212"/>
        <v>4</v>
      </c>
      <c r="AX376" s="3">
        <f t="shared" si="213"/>
        <v>11</v>
      </c>
      <c r="AY376" s="3">
        <f t="shared" si="214"/>
        <v>11</v>
      </c>
      <c r="AZ376" s="3">
        <f t="shared" si="215"/>
        <v>1</v>
      </c>
      <c r="BA376" s="3">
        <f>IF(ISERROR(LEN(VLOOKUP(A376,Seqs!A:E,2,FALSE))-AL376),"-",LEN(VLOOKUP(A376,Seqs!A:E,2,FALSE))-AL376)</f>
        <v>9</v>
      </c>
      <c r="BB376" s="16">
        <f t="shared" si="216"/>
        <v>26</v>
      </c>
      <c r="BC376" s="9" t="str">
        <f t="shared" si="217"/>
        <v>-</v>
      </c>
      <c r="BD376" s="3">
        <f t="shared" si="218"/>
        <v>26</v>
      </c>
      <c r="BE376" s="3">
        <f t="shared" si="219"/>
        <v>55</v>
      </c>
      <c r="BF376" s="3">
        <f>AH376-AE376</f>
        <v>55</v>
      </c>
    </row>
    <row r="377" spans="1:58" s="3" customFormat="1" x14ac:dyDescent="0.2">
      <c r="A377" s="3" t="s">
        <v>443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2"/>
        <v>228</v>
      </c>
      <c r="G377" s="3">
        <v>231</v>
      </c>
      <c r="H377" s="3">
        <f t="shared" si="227"/>
        <v>232</v>
      </c>
      <c r="I377" s="3">
        <f t="shared" si="224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6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20"/>
        <v>1</v>
      </c>
      <c r="AO377" s="3" t="str">
        <f>IF(ISERROR(MATCH(A377,'SegEnds_Xtal_Prot#'!B:B, 0)), "NoXtal", "Xtal")</f>
        <v>NoXtal</v>
      </c>
      <c r="AP377" s="3">
        <f t="shared" si="205"/>
        <v>1</v>
      </c>
      <c r="AQ377" s="3">
        <f t="shared" si="206"/>
        <v>1</v>
      </c>
      <c r="AR377" s="3" t="str">
        <f t="shared" si="207"/>
        <v>-</v>
      </c>
      <c r="AS377" s="3" t="str">
        <f t="shared" si="208"/>
        <v>-</v>
      </c>
      <c r="AT377" s="3" t="str">
        <f t="shared" si="209"/>
        <v>-</v>
      </c>
      <c r="AU377" s="3" t="str">
        <f t="shared" si="210"/>
        <v>-</v>
      </c>
      <c r="AV377" s="3">
        <f t="shared" si="211"/>
        <v>11</v>
      </c>
      <c r="AW377" s="3">
        <f t="shared" si="212"/>
        <v>4</v>
      </c>
      <c r="AX377" s="3">
        <f t="shared" si="213"/>
        <v>11</v>
      </c>
      <c r="AY377" s="3">
        <f t="shared" si="214"/>
        <v>11</v>
      </c>
      <c r="AZ377" s="3">
        <f t="shared" si="215"/>
        <v>1</v>
      </c>
      <c r="BA377" s="3">
        <f>IF(ISERROR(LEN(VLOOKUP(A377,Seqs!A:E,2,FALSE))-AL377),"-",LEN(VLOOKUP(A377,Seqs!A:E,2,FALSE))-AL377)</f>
        <v>151</v>
      </c>
      <c r="BB377" s="16">
        <f t="shared" si="216"/>
        <v>26</v>
      </c>
      <c r="BC377" s="9" t="str">
        <f t="shared" si="217"/>
        <v>-</v>
      </c>
      <c r="BD377" s="3">
        <f t="shared" si="218"/>
        <v>26</v>
      </c>
      <c r="BE377" s="3">
        <f t="shared" si="219"/>
        <v>55</v>
      </c>
    </row>
    <row r="378" spans="1:58" s="3" customFormat="1" x14ac:dyDescent="0.2">
      <c r="A378" s="3" t="s">
        <v>444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2"/>
        <v>245</v>
      </c>
      <c r="G378" s="3">
        <v>248</v>
      </c>
      <c r="H378" s="3">
        <f t="shared" si="227"/>
        <v>249</v>
      </c>
      <c r="I378" s="3">
        <f t="shared" si="224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6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20"/>
        <v>1</v>
      </c>
      <c r="AO378" s="3" t="str">
        <f>IF(ISERROR(MATCH(A378,'SegEnds_Xtal_Prot#'!B:B, 0)), "NoXtal", "Xtal")</f>
        <v>Xtal</v>
      </c>
      <c r="AP378" s="3">
        <f t="shared" si="205"/>
        <v>1</v>
      </c>
      <c r="AQ378" s="3">
        <f t="shared" si="206"/>
        <v>1</v>
      </c>
      <c r="AR378" s="3" t="str">
        <f t="shared" si="207"/>
        <v>-</v>
      </c>
      <c r="AS378" s="3" t="str">
        <f t="shared" si="208"/>
        <v>-</v>
      </c>
      <c r="AT378" s="3" t="str">
        <f t="shared" si="209"/>
        <v>-</v>
      </c>
      <c r="AU378" s="3" t="str">
        <f t="shared" si="210"/>
        <v>-</v>
      </c>
      <c r="AV378" s="3">
        <f t="shared" si="211"/>
        <v>11</v>
      </c>
      <c r="AW378" s="3">
        <f t="shared" si="212"/>
        <v>4</v>
      </c>
      <c r="AX378" s="3">
        <f t="shared" si="213"/>
        <v>11</v>
      </c>
      <c r="AY378" s="3">
        <f t="shared" si="214"/>
        <v>12</v>
      </c>
      <c r="AZ378" s="3">
        <f t="shared" si="215"/>
        <v>1</v>
      </c>
      <c r="BA378" s="3">
        <f>IF(ISERROR(LEN(VLOOKUP(A378,Seqs!A:E,2,FALSE))-AL378),"-",LEN(VLOOKUP(A378,Seqs!A:E,2,FALSE))-AL378)</f>
        <v>25</v>
      </c>
      <c r="BB378" s="16">
        <f t="shared" si="216"/>
        <v>26</v>
      </c>
      <c r="BC378" s="9" t="str">
        <f t="shared" si="217"/>
        <v>-</v>
      </c>
      <c r="BD378" s="3">
        <f t="shared" si="218"/>
        <v>26</v>
      </c>
      <c r="BE378" s="3">
        <f t="shared" si="219"/>
        <v>55</v>
      </c>
      <c r="BF378" s="3">
        <f>AH378-AE378</f>
        <v>36</v>
      </c>
    </row>
    <row r="379" spans="1:58" s="3" customFormat="1" x14ac:dyDescent="0.2">
      <c r="A379" s="3" t="s">
        <v>445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2"/>
        <v>261</v>
      </c>
      <c r="G379" s="3">
        <v>264</v>
      </c>
      <c r="H379" s="3">
        <f t="shared" si="227"/>
        <v>265</v>
      </c>
      <c r="I379" s="3">
        <f t="shared" si="224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6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20"/>
        <v>1</v>
      </c>
      <c r="AO379" s="3" t="str">
        <f>IF(ISERROR(MATCH(A379,'SegEnds_Xtal_Prot#'!B:B, 0)), "NoXtal", "Xtal")</f>
        <v>NoXtal</v>
      </c>
      <c r="AP379" s="3">
        <f t="shared" si="205"/>
        <v>1</v>
      </c>
      <c r="AQ379" s="3">
        <f t="shared" si="206"/>
        <v>1</v>
      </c>
      <c r="AR379" s="3" t="str">
        <f t="shared" si="207"/>
        <v>-</v>
      </c>
      <c r="AS379" s="3" t="str">
        <f t="shared" si="208"/>
        <v>-</v>
      </c>
      <c r="AT379" s="3" t="str">
        <f t="shared" si="209"/>
        <v>-</v>
      </c>
      <c r="AU379" s="3" t="str">
        <f t="shared" si="210"/>
        <v>-</v>
      </c>
      <c r="AV379" s="3">
        <f t="shared" si="211"/>
        <v>11</v>
      </c>
      <c r="AW379" s="3">
        <f t="shared" si="212"/>
        <v>4</v>
      </c>
      <c r="AX379" s="3">
        <f t="shared" si="213"/>
        <v>11</v>
      </c>
      <c r="AY379" s="3">
        <f t="shared" si="214"/>
        <v>5</v>
      </c>
      <c r="AZ379" s="3">
        <f t="shared" si="215"/>
        <v>1</v>
      </c>
      <c r="BA379" s="3">
        <f>IF(ISERROR(LEN(VLOOKUP(A379,Seqs!A:E,2,FALSE))-AL379),"-",LEN(VLOOKUP(A379,Seqs!A:E,2,FALSE))-AL379)</f>
        <v>47</v>
      </c>
      <c r="BB379" s="16">
        <f t="shared" si="216"/>
        <v>26</v>
      </c>
      <c r="BC379" s="9" t="str">
        <f t="shared" si="217"/>
        <v>-</v>
      </c>
      <c r="BD379" s="3">
        <f t="shared" si="218"/>
        <v>26</v>
      </c>
      <c r="BE379" s="3">
        <f t="shared" si="219"/>
        <v>55</v>
      </c>
    </row>
    <row r="380" spans="1:58" s="3" customFormat="1" x14ac:dyDescent="0.2">
      <c r="A380" s="3" t="s">
        <v>446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2"/>
        <v>224</v>
      </c>
      <c r="G380" s="3">
        <v>227</v>
      </c>
      <c r="H380" s="3">
        <f t="shared" si="227"/>
        <v>228</v>
      </c>
      <c r="I380" s="3">
        <f t="shared" si="224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6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20"/>
        <v>1</v>
      </c>
      <c r="AO380" s="3" t="str">
        <f>IF(ISERROR(MATCH(A380,'SegEnds_Xtal_Prot#'!B:B, 0)), "NoXtal", "Xtal")</f>
        <v>NoXtal</v>
      </c>
      <c r="AP380" s="3">
        <f t="shared" si="205"/>
        <v>1</v>
      </c>
      <c r="AQ380" s="3">
        <f t="shared" si="206"/>
        <v>1</v>
      </c>
      <c r="AR380" s="3" t="str">
        <f t="shared" si="207"/>
        <v>-</v>
      </c>
      <c r="AS380" s="3" t="str">
        <f t="shared" si="208"/>
        <v>-</v>
      </c>
      <c r="AT380" s="3" t="str">
        <f t="shared" si="209"/>
        <v>-</v>
      </c>
      <c r="AU380" s="3" t="str">
        <f t="shared" si="210"/>
        <v>-</v>
      </c>
      <c r="AV380" s="3">
        <f t="shared" si="211"/>
        <v>11</v>
      </c>
      <c r="AW380" s="3">
        <f t="shared" si="212"/>
        <v>4</v>
      </c>
      <c r="AX380" s="3">
        <f t="shared" si="213"/>
        <v>11</v>
      </c>
      <c r="AY380" s="3">
        <f t="shared" si="214"/>
        <v>11</v>
      </c>
      <c r="AZ380" s="3">
        <f t="shared" si="215"/>
        <v>1</v>
      </c>
      <c r="BA380" s="3">
        <f>IF(ISERROR(LEN(VLOOKUP(A380,Seqs!A:E,2,FALSE))-AL380),"-",LEN(VLOOKUP(A380,Seqs!A:E,2,FALSE))-AL380)</f>
        <v>195</v>
      </c>
      <c r="BB380" s="16">
        <f t="shared" si="216"/>
        <v>26</v>
      </c>
      <c r="BC380" s="9" t="str">
        <f t="shared" si="217"/>
        <v>-</v>
      </c>
      <c r="BD380" s="3">
        <f t="shared" si="218"/>
        <v>26</v>
      </c>
      <c r="BE380" s="3">
        <f t="shared" si="219"/>
        <v>55</v>
      </c>
    </row>
    <row r="381" spans="1:58" s="3" customFormat="1" x14ac:dyDescent="0.2">
      <c r="A381" s="3" t="s">
        <v>447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2"/>
        <v>279</v>
      </c>
      <c r="G381" s="3">
        <v>282</v>
      </c>
      <c r="H381" s="3">
        <f t="shared" si="227"/>
        <v>283</v>
      </c>
      <c r="I381" s="3">
        <f t="shared" si="224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6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20"/>
        <v>1</v>
      </c>
      <c r="AO381" s="3" t="str">
        <f>IF(ISERROR(MATCH(A381,'SegEnds_Xtal_Prot#'!B:B, 0)), "NoXtal", "Xtal")</f>
        <v>NoXtal</v>
      </c>
      <c r="AP381" s="3">
        <f t="shared" si="205"/>
        <v>1</v>
      </c>
      <c r="AQ381" s="3">
        <f t="shared" si="206"/>
        <v>1</v>
      </c>
      <c r="AR381" s="3" t="str">
        <f t="shared" si="207"/>
        <v>-</v>
      </c>
      <c r="AS381" s="3" t="str">
        <f t="shared" si="208"/>
        <v>-</v>
      </c>
      <c r="AT381" s="3" t="str">
        <f t="shared" si="209"/>
        <v>-</v>
      </c>
      <c r="AU381" s="3" t="str">
        <f t="shared" si="210"/>
        <v>-</v>
      </c>
      <c r="AV381" s="3">
        <f t="shared" si="211"/>
        <v>11</v>
      </c>
      <c r="AW381" s="3">
        <f t="shared" si="212"/>
        <v>4</v>
      </c>
      <c r="AX381" s="3">
        <f t="shared" si="213"/>
        <v>11</v>
      </c>
      <c r="AY381" s="3">
        <f t="shared" si="214"/>
        <v>11</v>
      </c>
      <c r="AZ381" s="3">
        <f t="shared" si="215"/>
        <v>1</v>
      </c>
      <c r="BA381" s="3">
        <f>IF(ISERROR(LEN(VLOOKUP(A381,Seqs!A:E,2,FALSE))-AL381),"-",LEN(VLOOKUP(A381,Seqs!A:E,2,FALSE))-AL381)</f>
        <v>9</v>
      </c>
      <c r="BB381" s="16">
        <f t="shared" si="216"/>
        <v>26</v>
      </c>
      <c r="BC381" s="9" t="str">
        <f t="shared" si="217"/>
        <v>-</v>
      </c>
      <c r="BD381" s="3">
        <f t="shared" si="218"/>
        <v>26</v>
      </c>
      <c r="BE381" s="3">
        <f t="shared" si="219"/>
        <v>55</v>
      </c>
      <c r="BF381" s="3">
        <f>AH381-AE381</f>
        <v>55</v>
      </c>
    </row>
    <row r="382" spans="1:58" s="3" customFormat="1" x14ac:dyDescent="0.2">
      <c r="A382" s="3" t="s">
        <v>448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2"/>
        <v>303</v>
      </c>
      <c r="G382" s="3">
        <v>306</v>
      </c>
      <c r="H382" s="3">
        <f t="shared" si="227"/>
        <v>307</v>
      </c>
      <c r="I382" s="3">
        <f t="shared" si="224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6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20"/>
        <v>1</v>
      </c>
      <c r="AO382" s="3" t="str">
        <f>IF(ISERROR(MATCH(A382,'SegEnds_Xtal_Prot#'!B:B, 0)), "NoXtal", "Xtal")</f>
        <v>NoXtal</v>
      </c>
      <c r="AP382" s="3">
        <f t="shared" si="205"/>
        <v>1</v>
      </c>
      <c r="AQ382" s="3">
        <f t="shared" si="206"/>
        <v>1</v>
      </c>
      <c r="AR382" s="3" t="str">
        <f t="shared" si="207"/>
        <v>-</v>
      </c>
      <c r="AS382" s="3" t="str">
        <f t="shared" si="208"/>
        <v>-</v>
      </c>
      <c r="AT382" s="3" t="str">
        <f t="shared" si="209"/>
        <v>-</v>
      </c>
      <c r="AU382" s="3" t="str">
        <f t="shared" si="210"/>
        <v>-</v>
      </c>
      <c r="AV382" s="3">
        <f t="shared" si="211"/>
        <v>11</v>
      </c>
      <c r="AW382" s="3">
        <f t="shared" si="212"/>
        <v>4</v>
      </c>
      <c r="AX382" s="3">
        <f t="shared" si="213"/>
        <v>13</v>
      </c>
      <c r="AY382" s="3">
        <f t="shared" si="214"/>
        <v>5</v>
      </c>
      <c r="AZ382" s="3">
        <f t="shared" si="215"/>
        <v>1</v>
      </c>
      <c r="BA382" s="3">
        <f>IF(ISERROR(LEN(VLOOKUP(A382,Seqs!A:E,2,FALSE))-AL382),"-",LEN(VLOOKUP(A382,Seqs!A:E,2,FALSE))-AL382)</f>
        <v>73</v>
      </c>
      <c r="BB382" s="16">
        <f t="shared" si="216"/>
        <v>26</v>
      </c>
      <c r="BC382" s="9" t="str">
        <f t="shared" si="217"/>
        <v>-</v>
      </c>
      <c r="BD382" s="3">
        <f t="shared" si="218"/>
        <v>26</v>
      </c>
      <c r="BE382" s="3">
        <f t="shared" si="219"/>
        <v>57</v>
      </c>
    </row>
    <row r="383" spans="1:58" s="3" customFormat="1" x14ac:dyDescent="0.2">
      <c r="A383" s="3" t="s">
        <v>449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2"/>
        <v>257</v>
      </c>
      <c r="G383" s="3">
        <v>260</v>
      </c>
      <c r="H383" s="3">
        <f t="shared" si="227"/>
        <v>261</v>
      </c>
      <c r="I383" s="3">
        <f t="shared" si="224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6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20"/>
        <v>1</v>
      </c>
      <c r="AO383" s="3" t="str">
        <f>IF(ISERROR(MATCH(A383,'SegEnds_Xtal_Prot#'!B:B, 0)), "NoXtal", "Xtal")</f>
        <v>NoXtal</v>
      </c>
      <c r="AP383" s="3">
        <f t="shared" si="205"/>
        <v>1</v>
      </c>
      <c r="AQ383" s="3">
        <f t="shared" si="206"/>
        <v>1</v>
      </c>
      <c r="AR383" s="3" t="str">
        <f t="shared" si="207"/>
        <v>-</v>
      </c>
      <c r="AS383" s="3" t="str">
        <f t="shared" si="208"/>
        <v>-</v>
      </c>
      <c r="AT383" s="3" t="str">
        <f t="shared" si="209"/>
        <v>-</v>
      </c>
      <c r="AU383" s="3" t="str">
        <f t="shared" si="210"/>
        <v>-</v>
      </c>
      <c r="AV383" s="3">
        <f t="shared" si="211"/>
        <v>11</v>
      </c>
      <c r="AW383" s="3">
        <f t="shared" si="212"/>
        <v>4</v>
      </c>
      <c r="AX383" s="3">
        <f t="shared" si="213"/>
        <v>11</v>
      </c>
      <c r="AY383" s="3">
        <f t="shared" si="214"/>
        <v>14</v>
      </c>
      <c r="AZ383" s="3">
        <f t="shared" si="215"/>
        <v>1</v>
      </c>
      <c r="BA383" s="3">
        <f>IF(ISERROR(LEN(VLOOKUP(A383,Seqs!A:E,2,FALSE))-AL383),"-",LEN(VLOOKUP(A383,Seqs!A:E,2,FALSE))-AL383)</f>
        <v>46</v>
      </c>
      <c r="BB383" s="16">
        <f t="shared" si="216"/>
        <v>26</v>
      </c>
      <c r="BC383" s="9" t="str">
        <f t="shared" si="217"/>
        <v>-</v>
      </c>
      <c r="BD383" s="3">
        <f t="shared" si="218"/>
        <v>26</v>
      </c>
      <c r="BE383" s="3">
        <f t="shared" si="219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2"/>
        <v>256</v>
      </c>
      <c r="G384" s="3">
        <v>259</v>
      </c>
      <c r="H384" s="3">
        <f t="shared" si="227"/>
        <v>260</v>
      </c>
      <c r="I384" s="3">
        <f t="shared" si="224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6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20"/>
        <v>1</v>
      </c>
      <c r="AO384" s="3" t="str">
        <f>IF(ISERROR(MATCH(A384,'SegEnds_Xtal_Prot#'!B:B, 0)), "NoXtal", "Xtal")</f>
        <v>Xtal</v>
      </c>
      <c r="AP384" s="3">
        <f t="shared" si="205"/>
        <v>1</v>
      </c>
      <c r="AQ384" s="3">
        <f t="shared" si="206"/>
        <v>1</v>
      </c>
      <c r="AR384" s="3" t="str">
        <f t="shared" si="207"/>
        <v>-</v>
      </c>
      <c r="AS384" s="3" t="str">
        <f t="shared" si="208"/>
        <v>-</v>
      </c>
      <c r="AT384" s="3" t="str">
        <f t="shared" si="209"/>
        <v>-</v>
      </c>
      <c r="AU384" s="3" t="str">
        <f t="shared" si="210"/>
        <v>-</v>
      </c>
      <c r="AV384" s="3">
        <f t="shared" si="211"/>
        <v>11</v>
      </c>
      <c r="AW384" s="3">
        <f t="shared" si="212"/>
        <v>4</v>
      </c>
      <c r="AX384" s="3">
        <f t="shared" si="213"/>
        <v>5</v>
      </c>
      <c r="AY384" s="3">
        <f t="shared" si="214"/>
        <v>18</v>
      </c>
      <c r="AZ384" s="3">
        <f t="shared" si="215"/>
        <v>1</v>
      </c>
      <c r="BA384" s="3">
        <f>IF(ISERROR(LEN(VLOOKUP(A384,Seqs!A:E,2,FALSE))-AL384),"-",LEN(VLOOKUP(A384,Seqs!A:E,2,FALSE))-AL384)</f>
        <v>234</v>
      </c>
      <c r="BB384" s="16">
        <f t="shared" si="216"/>
        <v>27</v>
      </c>
      <c r="BC384" s="9" t="str">
        <f t="shared" si="217"/>
        <v>-</v>
      </c>
      <c r="BD384" s="3">
        <f t="shared" si="218"/>
        <v>27</v>
      </c>
      <c r="BE384" s="3">
        <f t="shared" si="219"/>
        <v>57</v>
      </c>
    </row>
    <row r="385" spans="1:58" s="3" customFormat="1" x14ac:dyDescent="0.2">
      <c r="A385" s="3" t="s">
        <v>1588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8">G385-3</f>
        <v>260</v>
      </c>
      <c r="G385" s="3">
        <v>263</v>
      </c>
      <c r="H385" s="3">
        <f t="shared" ref="H385" si="229">G385+1</f>
        <v>264</v>
      </c>
      <c r="I385" s="3">
        <f t="shared" ref="I385" si="230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1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2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3">IF(ISERROR(F385-E385),"-",F385-E385)</f>
        <v>1</v>
      </c>
      <c r="AQ385" s="3">
        <f t="shared" ref="AQ385" si="234">IF(ISERROR(I385-H385),"-",I385-H385)</f>
        <v>1</v>
      </c>
      <c r="AR385" s="3" t="str">
        <f t="shared" ref="AR385" si="235">IF(ISERROR(L385-K385),"-",L385-K385)</f>
        <v>-</v>
      </c>
      <c r="AS385" s="3" t="str">
        <f t="shared" ref="AS385" si="236">IF(ISERROR(O385-N385),"-",O385-N385)</f>
        <v>-</v>
      </c>
      <c r="AT385" s="3" t="str">
        <f t="shared" ref="AT385" si="237">IF(ISERROR(R385-Q385),"-",R385-Q385)</f>
        <v>-</v>
      </c>
      <c r="AU385" s="3" t="str">
        <f t="shared" ref="AU385" si="238">IF(ISERROR(U385-T385),"-",U385-T385)</f>
        <v>-</v>
      </c>
      <c r="AV385" s="3">
        <f t="shared" ref="AV385" si="239">IF(ISERROR(X385-W385),"-",X385-W385)</f>
        <v>11</v>
      </c>
      <c r="AW385" s="3">
        <f t="shared" ref="AW385" si="240">IF(ISERROR(AA385-Z385),"-",AA385-Z385)</f>
        <v>4</v>
      </c>
      <c r="AX385" s="3">
        <f t="shared" ref="AX385" si="241">IF(ISERROR(AD385-AC385),"-",AD385-AC385)</f>
        <v>5</v>
      </c>
      <c r="AY385" s="3">
        <f t="shared" ref="AY385" si="242">IF(ISERROR(AG385-AF385),"-",AG385-AF385)</f>
        <v>18</v>
      </c>
      <c r="AZ385" s="3">
        <f t="shared" ref="AZ385" si="243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4">J385-D385</f>
        <v>27</v>
      </c>
      <c r="BC385" s="9" t="str">
        <f t="shared" ref="BC385" si="245">IF(ISERROR(V385-S385),"-",V385-S385)</f>
        <v>-</v>
      </c>
      <c r="BD385" s="3">
        <f t="shared" ref="BD385" si="246">J385-D385</f>
        <v>27</v>
      </c>
      <c r="BE385" s="3">
        <f t="shared" ref="BE385" si="247">AE385-AB385</f>
        <v>57</v>
      </c>
    </row>
    <row r="386" spans="1:58" s="9" customFormat="1" x14ac:dyDescent="0.2">
      <c r="A386" s="127" t="s">
        <v>1489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475</v>
      </c>
      <c r="B387" s="3" t="str">
        <f>LOWER(VLOOKUP(A387,Xtal_Templ!A:B,2,FALSE))</f>
        <v>fpr2_human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20"/>
        <v>1</v>
      </c>
      <c r="AO387" s="3" t="str">
        <f>IF(ISERROR(MATCH(A387,'SegEnds_Xtal_Prot#'!B:B, 0)), "NoXtal", "Xtal")</f>
        <v>NoXtal</v>
      </c>
      <c r="AP387" s="3" t="str">
        <f t="shared" si="205"/>
        <v>-</v>
      </c>
      <c r="AQ387" s="3" t="str">
        <f t="shared" si="206"/>
        <v>-</v>
      </c>
      <c r="AR387" s="3" t="str">
        <f t="shared" si="207"/>
        <v>-</v>
      </c>
      <c r="AS387" s="3" t="str">
        <f t="shared" si="208"/>
        <v>-</v>
      </c>
      <c r="AT387" s="3" t="str">
        <f t="shared" si="209"/>
        <v>-</v>
      </c>
      <c r="AU387" s="3" t="str">
        <f t="shared" si="210"/>
        <v>-</v>
      </c>
      <c r="AV387" s="3" t="str">
        <f t="shared" si="211"/>
        <v>-</v>
      </c>
      <c r="AW387" s="3" t="str">
        <f t="shared" si="212"/>
        <v>-</v>
      </c>
      <c r="AX387" s="3">
        <f t="shared" si="213"/>
        <v>47</v>
      </c>
      <c r="AY387" s="3">
        <f t="shared" si="214"/>
        <v>15</v>
      </c>
      <c r="AZ387" s="3">
        <f t="shared" si="215"/>
        <v>1</v>
      </c>
      <c r="BA387" s="3">
        <f>IF(ISERROR(LEN(VLOOKUP(A387,Seqs!A:E,2,FALSE))-AL387),"-",LEN(VLOOKUP(A387,Seqs!A:E,2,FALSE))-AL387)</f>
        <v>20</v>
      </c>
      <c r="BB387" s="16">
        <f t="shared" si="216"/>
        <v>18</v>
      </c>
      <c r="BC387" s="9" t="str">
        <f t="shared" si="217"/>
        <v>-</v>
      </c>
      <c r="BD387" s="3">
        <f t="shared" si="218"/>
        <v>18</v>
      </c>
      <c r="BE387" s="3">
        <f t="shared" si="219"/>
        <v>79</v>
      </c>
      <c r="BF387" s="3">
        <f>AH387-AE387</f>
        <v>33</v>
      </c>
    </row>
    <row r="388" spans="1:58" s="3" customFormat="1" x14ac:dyDescent="0.2">
      <c r="A388" s="3" t="s">
        <v>476</v>
      </c>
      <c r="B388" s="3" t="str">
        <f>LOWER(VLOOKUP(A388,Xtal_Templ!A:B,2,FALSE))</f>
        <v>ste2_yeast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20"/>
        <v>1</v>
      </c>
      <c r="AO388" s="3" t="str">
        <f>IF(ISERROR(MATCH(A388,'SegEnds_Xtal_Prot#'!B:B, 0)), "NoXtal", "Xtal")</f>
        <v>NoXtal</v>
      </c>
      <c r="AP388" s="3" t="str">
        <f t="shared" si="205"/>
        <v>-</v>
      </c>
      <c r="AQ388" s="3" t="str">
        <f t="shared" si="206"/>
        <v>-</v>
      </c>
      <c r="AR388" s="3" t="str">
        <f t="shared" si="207"/>
        <v>-</v>
      </c>
      <c r="AS388" s="3" t="str">
        <f t="shared" si="208"/>
        <v>-</v>
      </c>
      <c r="AT388" s="3" t="str">
        <f t="shared" si="209"/>
        <v>-</v>
      </c>
      <c r="AU388" s="3" t="str">
        <f t="shared" si="210"/>
        <v>-</v>
      </c>
      <c r="AV388" s="3" t="str">
        <f t="shared" si="211"/>
        <v>-</v>
      </c>
      <c r="AW388" s="3" t="str">
        <f t="shared" si="212"/>
        <v>-</v>
      </c>
      <c r="AX388" s="3">
        <f t="shared" si="213"/>
        <v>5</v>
      </c>
      <c r="AY388" s="3">
        <f t="shared" si="214"/>
        <v>26</v>
      </c>
      <c r="AZ388" s="3">
        <f t="shared" si="215"/>
        <v>2</v>
      </c>
      <c r="BA388" s="3">
        <f>IF(ISERROR(LEN(VLOOKUP(A388,Seqs!A:E,2,FALSE))-AL388),"-",LEN(VLOOKUP(A388,Seqs!A:E,2,FALSE))-AL388)</f>
        <v>29</v>
      </c>
      <c r="BB388" s="16">
        <f t="shared" si="216"/>
        <v>49</v>
      </c>
      <c r="BC388" s="9" t="str">
        <f t="shared" si="217"/>
        <v>-</v>
      </c>
      <c r="BD388" s="3">
        <f t="shared" si="218"/>
        <v>49</v>
      </c>
      <c r="BE388" s="3">
        <f t="shared" si="219"/>
        <v>37</v>
      </c>
      <c r="BF388" s="3">
        <f>AH388-AE388</f>
        <v>44</v>
      </c>
    </row>
    <row r="389" spans="1:58" s="3" customFormat="1" x14ac:dyDescent="0.2">
      <c r="A389" s="3" t="s">
        <v>479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20"/>
        <v>1</v>
      </c>
      <c r="AO389" s="3" t="str">
        <f>IF(ISERROR(MATCH(A389,'SegEnds_Xtal_Prot#'!B:B, 0)), "NoXtal", "Xtal")</f>
        <v>NoXtal</v>
      </c>
      <c r="AP389" s="3" t="str">
        <f t="shared" si="205"/>
        <v>-</v>
      </c>
      <c r="AQ389" s="3" t="str">
        <f t="shared" si="206"/>
        <v>-</v>
      </c>
      <c r="AR389" s="3" t="str">
        <f t="shared" si="207"/>
        <v>-</v>
      </c>
      <c r="AS389" s="3" t="str">
        <f t="shared" si="208"/>
        <v>-</v>
      </c>
      <c r="AT389" s="3" t="str">
        <f t="shared" si="209"/>
        <v>-</v>
      </c>
      <c r="AU389" s="3" t="str">
        <f t="shared" si="210"/>
        <v>-</v>
      </c>
      <c r="AV389" s="3" t="str">
        <f t="shared" si="211"/>
        <v>-</v>
      </c>
      <c r="AW389" s="3" t="str">
        <f t="shared" si="212"/>
        <v>-</v>
      </c>
      <c r="AX389" s="3">
        <f t="shared" si="213"/>
        <v>26</v>
      </c>
      <c r="AY389" s="3">
        <f t="shared" si="214"/>
        <v>31</v>
      </c>
      <c r="AZ389" s="3">
        <f t="shared" si="215"/>
        <v>1</v>
      </c>
      <c r="BA389" s="3">
        <f>IF(ISERROR(LEN(VLOOKUP(A389,Seqs!A:E,2,FALSE))-AL389),"-",LEN(VLOOKUP(A389,Seqs!A:E,2,FALSE))-AL389)</f>
        <v>79</v>
      </c>
      <c r="BB389" s="16">
        <f t="shared" si="216"/>
        <v>36</v>
      </c>
      <c r="BC389" s="9" t="str">
        <f t="shared" si="217"/>
        <v>-</v>
      </c>
      <c r="BD389" s="3">
        <f t="shared" si="218"/>
        <v>36</v>
      </c>
      <c r="BE389" s="3">
        <f t="shared" si="219"/>
        <v>58</v>
      </c>
    </row>
    <row r="390" spans="1:58" s="3" customFormat="1" x14ac:dyDescent="0.2">
      <c r="A390" s="3" t="s">
        <v>480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20"/>
        <v>1</v>
      </c>
      <c r="AO390" s="3" t="str">
        <f>IF(ISERROR(MATCH(A390,'SegEnds_Xtal_Prot#'!B:B, 0)), "NoXtal", "Xtal")</f>
        <v>NoXtal</v>
      </c>
      <c r="AP390" s="3" t="str">
        <f t="shared" si="205"/>
        <v>-</v>
      </c>
      <c r="AQ390" s="3" t="str">
        <f t="shared" si="206"/>
        <v>-</v>
      </c>
      <c r="AR390" s="3" t="str">
        <f t="shared" si="207"/>
        <v>-</v>
      </c>
      <c r="AS390" s="3" t="str">
        <f t="shared" si="208"/>
        <v>-</v>
      </c>
      <c r="AT390" s="3" t="str">
        <f t="shared" si="209"/>
        <v>-</v>
      </c>
      <c r="AU390" s="3" t="str">
        <f t="shared" si="210"/>
        <v>-</v>
      </c>
      <c r="AV390" s="3" t="str">
        <f t="shared" si="211"/>
        <v>-</v>
      </c>
      <c r="AW390" s="3" t="str">
        <f t="shared" si="212"/>
        <v>-</v>
      </c>
      <c r="AX390" s="3">
        <f t="shared" si="213"/>
        <v>35</v>
      </c>
      <c r="AY390" s="3">
        <f t="shared" si="214"/>
        <v>27</v>
      </c>
      <c r="AZ390" s="3">
        <f t="shared" si="215"/>
        <v>4</v>
      </c>
      <c r="BA390" s="3">
        <f>IF(ISERROR(LEN(VLOOKUP(A390,Seqs!A:E,2,FALSE))-AL390),"-",LEN(VLOOKUP(A390,Seqs!A:E,2,FALSE))-AL390)</f>
        <v>34</v>
      </c>
      <c r="BB390" s="16">
        <f t="shared" si="216"/>
        <v>28</v>
      </c>
      <c r="BC390" s="9" t="str">
        <f t="shared" si="217"/>
        <v>-</v>
      </c>
      <c r="BD390" s="3">
        <f t="shared" si="218"/>
        <v>28</v>
      </c>
      <c r="BE390" s="3">
        <f t="shared" si="219"/>
        <v>67</v>
      </c>
    </row>
    <row r="391" spans="1:58" s="3" customFormat="1" x14ac:dyDescent="0.2">
      <c r="A391" s="3" t="s">
        <v>478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20"/>
        <v>1</v>
      </c>
      <c r="AO391" s="3" t="str">
        <f>IF(ISERROR(MATCH(A391,'SegEnds_Xtal_Prot#'!B:B, 0)), "NoXtal", "Xtal")</f>
        <v>NoXtal</v>
      </c>
      <c r="AP391" s="3" t="str">
        <f t="shared" si="205"/>
        <v>-</v>
      </c>
      <c r="AQ391" s="3" t="str">
        <f t="shared" si="206"/>
        <v>-</v>
      </c>
      <c r="AR391" s="3" t="str">
        <f t="shared" si="207"/>
        <v>-</v>
      </c>
      <c r="AS391" s="3" t="str">
        <f t="shared" si="208"/>
        <v>-</v>
      </c>
      <c r="AT391" s="3" t="str">
        <f t="shared" si="209"/>
        <v>-</v>
      </c>
      <c r="AU391" s="3" t="str">
        <f t="shared" si="210"/>
        <v>-</v>
      </c>
      <c r="AV391" s="3" t="str">
        <f t="shared" si="211"/>
        <v>-</v>
      </c>
      <c r="AW391" s="3" t="str">
        <f t="shared" si="212"/>
        <v>-</v>
      </c>
      <c r="AX391" s="3">
        <f t="shared" si="213"/>
        <v>44</v>
      </c>
      <c r="AY391" s="3">
        <f t="shared" si="214"/>
        <v>18</v>
      </c>
      <c r="AZ391" s="3">
        <f t="shared" si="215"/>
        <v>5</v>
      </c>
      <c r="BA391" s="3">
        <f>IF(ISERROR(LEN(VLOOKUP(A391,Seqs!A:E,2,FALSE))-AL391),"-",LEN(VLOOKUP(A391,Seqs!A:E,2,FALSE))-AL391)</f>
        <v>33</v>
      </c>
      <c r="BB391" s="16">
        <f t="shared" si="216"/>
        <v>32</v>
      </c>
      <c r="BC391" s="9" t="str">
        <f t="shared" si="217"/>
        <v>-</v>
      </c>
      <c r="BD391" s="3">
        <f t="shared" si="218"/>
        <v>32</v>
      </c>
      <c r="BE391" s="3">
        <f t="shared" si="219"/>
        <v>76</v>
      </c>
    </row>
    <row r="392" spans="1:58" s="3" customFormat="1" x14ac:dyDescent="0.2">
      <c r="A392" s="3" t="s">
        <v>450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8">F392-1</f>
        <v>36</v>
      </c>
      <c r="F392" s="3">
        <f t="shared" ref="F392:F416" si="249">G392-2</f>
        <v>37</v>
      </c>
      <c r="G392" s="3">
        <v>39</v>
      </c>
      <c r="H392" s="3">
        <f t="shared" ref="H392:I416" si="250">G392+1</f>
        <v>40</v>
      </c>
      <c r="I392" s="3">
        <f t="shared" si="250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1">S392</f>
        <v>115</v>
      </c>
      <c r="S392" s="3">
        <v>115</v>
      </c>
      <c r="T392" s="100">
        <f t="shared" ref="T392:T416" si="252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20"/>
        <v>1</v>
      </c>
      <c r="AO392" s="3" t="str">
        <f>IF(ISERROR(MATCH(A392,'SegEnds_Xtal_Prot#'!B:B, 0)), "NoXtal", "Xtal")</f>
        <v>NoXtal</v>
      </c>
      <c r="AP392" s="3">
        <f t="shared" si="205"/>
        <v>1</v>
      </c>
      <c r="AQ392" s="3">
        <f t="shared" si="206"/>
        <v>1</v>
      </c>
      <c r="AR392" s="3" t="str">
        <f t="shared" si="207"/>
        <v>-</v>
      </c>
      <c r="AS392" s="3" t="str">
        <f t="shared" si="208"/>
        <v>-</v>
      </c>
      <c r="AT392" s="3">
        <f t="shared" si="209"/>
        <v>3</v>
      </c>
      <c r="AU392" s="3">
        <f t="shared" si="210"/>
        <v>1</v>
      </c>
      <c r="AV392" s="3" t="str">
        <f t="shared" si="211"/>
        <v>-</v>
      </c>
      <c r="AW392" s="3" t="str">
        <f t="shared" si="212"/>
        <v>-</v>
      </c>
      <c r="AX392" s="3">
        <f t="shared" si="213"/>
        <v>10</v>
      </c>
      <c r="AY392" s="3">
        <f t="shared" si="214"/>
        <v>6</v>
      </c>
      <c r="AZ392" s="3">
        <f t="shared" si="215"/>
        <v>1</v>
      </c>
      <c r="BA392" s="3">
        <f>IF(ISERROR(LEN(VLOOKUP(A392,Seqs!A:E,2,FALSE))-AL392),"-",LEN(VLOOKUP(A392,Seqs!A:E,2,FALSE))-AL392)</f>
        <v>13</v>
      </c>
      <c r="BB392" s="16">
        <f t="shared" si="216"/>
        <v>30</v>
      </c>
      <c r="BC392" s="9">
        <f t="shared" si="217"/>
        <v>20</v>
      </c>
      <c r="BD392" s="3">
        <f t="shared" si="218"/>
        <v>30</v>
      </c>
      <c r="BE392" s="3">
        <f t="shared" si="219"/>
        <v>53</v>
      </c>
      <c r="BF392" s="3">
        <f t="shared" ref="BF392:BF416" si="253">AH392-AE392</f>
        <v>36</v>
      </c>
    </row>
    <row r="393" spans="1:58" s="3" customFormat="1" x14ac:dyDescent="0.2">
      <c r="A393" s="3" t="s">
        <v>451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8"/>
        <v>36</v>
      </c>
      <c r="F393" s="3">
        <f t="shared" si="249"/>
        <v>37</v>
      </c>
      <c r="G393" s="3">
        <v>39</v>
      </c>
      <c r="H393" s="3">
        <f t="shared" si="250"/>
        <v>40</v>
      </c>
      <c r="I393" s="3">
        <f t="shared" si="250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1"/>
        <v>116</v>
      </c>
      <c r="S393" s="3">
        <v>116</v>
      </c>
      <c r="T393" s="100">
        <f t="shared" si="252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20"/>
        <v>1</v>
      </c>
      <c r="AO393" s="3" t="str">
        <f>IF(ISERROR(MATCH(A393,'SegEnds_Xtal_Prot#'!B:B, 0)), "NoXtal", "Xtal")</f>
        <v>NoXtal</v>
      </c>
      <c r="AP393" s="3">
        <f t="shared" si="205"/>
        <v>1</v>
      </c>
      <c r="AQ393" s="3">
        <f t="shared" si="206"/>
        <v>1</v>
      </c>
      <c r="AR393" s="3" t="str">
        <f t="shared" si="207"/>
        <v>-</v>
      </c>
      <c r="AS393" s="3" t="str">
        <f t="shared" si="208"/>
        <v>-</v>
      </c>
      <c r="AT393" s="3">
        <f t="shared" si="209"/>
        <v>3</v>
      </c>
      <c r="AU393" s="3">
        <f t="shared" si="210"/>
        <v>1</v>
      </c>
      <c r="AV393" s="3" t="str">
        <f t="shared" si="211"/>
        <v>-</v>
      </c>
      <c r="AW393" s="3" t="str">
        <f t="shared" si="212"/>
        <v>-</v>
      </c>
      <c r="AX393" s="3">
        <f t="shared" si="213"/>
        <v>10</v>
      </c>
      <c r="AY393" s="3">
        <f t="shared" si="214"/>
        <v>5</v>
      </c>
      <c r="AZ393" s="3">
        <f t="shared" si="215"/>
        <v>1</v>
      </c>
      <c r="BA393" s="3">
        <f>IF(ISERROR(LEN(VLOOKUP(A393,Seqs!A:E,2,FALSE))-AL393),"-",LEN(VLOOKUP(A393,Seqs!A:E,2,FALSE))-AL393)</f>
        <v>5</v>
      </c>
      <c r="BB393" s="16">
        <f t="shared" si="216"/>
        <v>31</v>
      </c>
      <c r="BC393" s="9">
        <f t="shared" si="217"/>
        <v>20</v>
      </c>
      <c r="BD393" s="3">
        <f t="shared" si="218"/>
        <v>31</v>
      </c>
      <c r="BE393" s="3">
        <f t="shared" si="219"/>
        <v>53</v>
      </c>
      <c r="BF393" s="3">
        <f t="shared" si="253"/>
        <v>35</v>
      </c>
    </row>
    <row r="394" spans="1:58" s="3" customFormat="1" x14ac:dyDescent="0.2">
      <c r="A394" s="3" t="s">
        <v>452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8"/>
        <v>36</v>
      </c>
      <c r="F394" s="3">
        <f t="shared" si="249"/>
        <v>37</v>
      </c>
      <c r="G394" s="3">
        <v>39</v>
      </c>
      <c r="H394" s="3">
        <f t="shared" si="250"/>
        <v>40</v>
      </c>
      <c r="I394" s="3">
        <f t="shared" si="250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1"/>
        <v>116</v>
      </c>
      <c r="S394" s="3">
        <v>116</v>
      </c>
      <c r="T394" s="100">
        <f t="shared" si="252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20"/>
        <v>1</v>
      </c>
      <c r="AO394" s="3" t="str">
        <f>IF(ISERROR(MATCH(A394,'SegEnds_Xtal_Prot#'!B:B, 0)), "NoXtal", "Xtal")</f>
        <v>NoXtal</v>
      </c>
      <c r="AP394" s="3">
        <f t="shared" si="205"/>
        <v>1</v>
      </c>
      <c r="AQ394" s="3">
        <f t="shared" si="206"/>
        <v>1</v>
      </c>
      <c r="AR394" s="3" t="str">
        <f t="shared" si="207"/>
        <v>-</v>
      </c>
      <c r="AS394" s="3" t="str">
        <f t="shared" si="208"/>
        <v>-</v>
      </c>
      <c r="AT394" s="3">
        <f t="shared" si="209"/>
        <v>3</v>
      </c>
      <c r="AU394" s="3">
        <f t="shared" si="210"/>
        <v>1</v>
      </c>
      <c r="AV394" s="3" t="str">
        <f t="shared" si="211"/>
        <v>-</v>
      </c>
      <c r="AW394" s="3" t="str">
        <f t="shared" si="212"/>
        <v>-</v>
      </c>
      <c r="AX394" s="3">
        <f t="shared" si="213"/>
        <v>9</v>
      </c>
      <c r="AY394" s="3">
        <f t="shared" si="214"/>
        <v>5</v>
      </c>
      <c r="AZ394" s="3">
        <f t="shared" si="215"/>
        <v>1</v>
      </c>
      <c r="BA394" s="3">
        <f>IF(ISERROR(LEN(VLOOKUP(A394,Seqs!A:E,2,FALSE))-AL394),"-",LEN(VLOOKUP(A394,Seqs!A:E,2,FALSE))-AL394)</f>
        <v>20</v>
      </c>
      <c r="BB394" s="16">
        <f t="shared" si="216"/>
        <v>31</v>
      </c>
      <c r="BC394" s="9">
        <f t="shared" si="217"/>
        <v>20</v>
      </c>
      <c r="BD394" s="3">
        <f t="shared" si="218"/>
        <v>31</v>
      </c>
      <c r="BE394" s="3">
        <f t="shared" si="219"/>
        <v>52</v>
      </c>
      <c r="BF394" s="3">
        <f t="shared" si="253"/>
        <v>35</v>
      </c>
    </row>
    <row r="395" spans="1:58" s="3" customFormat="1" x14ac:dyDescent="0.2">
      <c r="A395" s="3" t="s">
        <v>453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8"/>
        <v>37</v>
      </c>
      <c r="F395" s="3">
        <f t="shared" si="249"/>
        <v>38</v>
      </c>
      <c r="G395" s="3">
        <v>40</v>
      </c>
      <c r="H395" s="3">
        <f t="shared" si="250"/>
        <v>41</v>
      </c>
      <c r="I395" s="3">
        <f t="shared" si="250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1"/>
        <v>112</v>
      </c>
      <c r="S395" s="3">
        <v>112</v>
      </c>
      <c r="T395" s="100">
        <f t="shared" si="252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20"/>
        <v>1</v>
      </c>
      <c r="AO395" s="3" t="str">
        <f>IF(ISERROR(MATCH(A395,'SegEnds_Xtal_Prot#'!B:B, 0)), "NoXtal", "Xtal")</f>
        <v>NoXtal</v>
      </c>
      <c r="AP395" s="3">
        <f t="shared" ref="AP395:AP416" si="254">IF(ISERROR(F395-E395),"-",F395-E395)</f>
        <v>1</v>
      </c>
      <c r="AQ395" s="3">
        <f t="shared" ref="AQ395:AQ416" si="255">IF(ISERROR(I395-H395),"-",I395-H395)</f>
        <v>1</v>
      </c>
      <c r="AR395" s="3" t="str">
        <f t="shared" ref="AR395:AR416" si="256">IF(ISERROR(L395-K395),"-",L395-K395)</f>
        <v>-</v>
      </c>
      <c r="AS395" s="3" t="str">
        <f t="shared" ref="AS395:AS416" si="257">IF(ISERROR(O395-N395),"-",O395-N395)</f>
        <v>-</v>
      </c>
      <c r="AT395" s="3">
        <f t="shared" ref="AT395:AT416" si="258">IF(ISERROR(R395-Q395),"-",R395-Q395)</f>
        <v>3</v>
      </c>
      <c r="AU395" s="3">
        <f t="shared" ref="AU395:AU416" si="259">IF(ISERROR(U395-T395),"-",U395-T395)</f>
        <v>1</v>
      </c>
      <c r="AV395" s="3" t="str">
        <f t="shared" ref="AV395:AV416" si="260">IF(ISERROR(X395-W395),"-",X395-W395)</f>
        <v>-</v>
      </c>
      <c r="AW395" s="3" t="str">
        <f t="shared" ref="AW395:AW416" si="261">IF(ISERROR(AA395-Z395),"-",AA395-Z395)</f>
        <v>-</v>
      </c>
      <c r="AX395" s="3">
        <f t="shared" ref="AX395:AX416" si="262">IF(ISERROR(AD395-AC395),"-",AD395-AC395)</f>
        <v>7</v>
      </c>
      <c r="AY395" s="3">
        <f t="shared" ref="AY395:AY416" si="263">IF(ISERROR(AG395-AF395),"-",AG395-AF395)</f>
        <v>5</v>
      </c>
      <c r="AZ395" s="3">
        <f t="shared" ref="AZ395:AZ416" si="264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5">J395-D395</f>
        <v>31</v>
      </c>
      <c r="BC395" s="9">
        <f t="shared" ref="BC395:BC416" si="266">IF(ISERROR(V395-S395),"-",V395-S395)</f>
        <v>20</v>
      </c>
      <c r="BD395" s="3">
        <f t="shared" ref="BD395:BD416" si="267">J395-D395</f>
        <v>31</v>
      </c>
      <c r="BE395" s="3">
        <f t="shared" ref="BE395:BE416" si="268">AE395-AB395</f>
        <v>50</v>
      </c>
      <c r="BF395" s="3">
        <f t="shared" si="253"/>
        <v>35</v>
      </c>
    </row>
    <row r="396" spans="1:58" s="3" customFormat="1" x14ac:dyDescent="0.2">
      <c r="A396" s="3" t="s">
        <v>454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8"/>
        <v>36</v>
      </c>
      <c r="F396" s="3">
        <f t="shared" si="249"/>
        <v>37</v>
      </c>
      <c r="G396" s="3">
        <v>39</v>
      </c>
      <c r="H396" s="3">
        <f t="shared" si="250"/>
        <v>40</v>
      </c>
      <c r="I396" s="3">
        <f t="shared" si="250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1"/>
        <v>115</v>
      </c>
      <c r="S396" s="3">
        <v>115</v>
      </c>
      <c r="T396" s="100">
        <f t="shared" si="252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9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4"/>
        <v>1</v>
      </c>
      <c r="AQ396" s="3">
        <f t="shared" si="255"/>
        <v>1</v>
      </c>
      <c r="AR396" s="3" t="str">
        <f t="shared" si="256"/>
        <v>-</v>
      </c>
      <c r="AS396" s="3" t="str">
        <f t="shared" si="257"/>
        <v>-</v>
      </c>
      <c r="AT396" s="3">
        <f t="shared" si="258"/>
        <v>3</v>
      </c>
      <c r="AU396" s="3">
        <f t="shared" si="259"/>
        <v>1</v>
      </c>
      <c r="AV396" s="3" t="str">
        <f t="shared" si="260"/>
        <v>-</v>
      </c>
      <c r="AW396" s="3" t="str">
        <f t="shared" si="261"/>
        <v>-</v>
      </c>
      <c r="AX396" s="3">
        <f t="shared" si="262"/>
        <v>10</v>
      </c>
      <c r="AY396" s="3">
        <f t="shared" si="263"/>
        <v>6</v>
      </c>
      <c r="AZ396" s="3">
        <f t="shared" si="264"/>
        <v>1</v>
      </c>
      <c r="BA396" s="3">
        <f>IF(ISERROR(LEN(VLOOKUP(A396,Seqs!A:E,2,FALSE))-AL396),"-",LEN(VLOOKUP(A396,Seqs!A:E,2,FALSE))-AL396)</f>
        <v>3</v>
      </c>
      <c r="BB396" s="16">
        <f t="shared" si="265"/>
        <v>31</v>
      </c>
      <c r="BC396" s="9">
        <f t="shared" si="266"/>
        <v>20</v>
      </c>
      <c r="BD396" s="3">
        <f t="shared" si="267"/>
        <v>31</v>
      </c>
      <c r="BE396" s="3">
        <f t="shared" si="268"/>
        <v>53</v>
      </c>
      <c r="BF396" s="3">
        <f t="shared" si="253"/>
        <v>36</v>
      </c>
    </row>
    <row r="397" spans="1:58" s="3" customFormat="1" x14ac:dyDescent="0.2">
      <c r="A397" s="3" t="s">
        <v>455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8"/>
        <v>36</v>
      </c>
      <c r="F397" s="3">
        <f t="shared" si="249"/>
        <v>37</v>
      </c>
      <c r="G397" s="3">
        <v>39</v>
      </c>
      <c r="H397" s="3">
        <f t="shared" si="250"/>
        <v>40</v>
      </c>
      <c r="I397" s="3">
        <f t="shared" si="250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1"/>
        <v>115</v>
      </c>
      <c r="S397" s="3">
        <v>115</v>
      </c>
      <c r="T397" s="100">
        <f t="shared" si="252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9"/>
        <v>1</v>
      </c>
      <c r="AO397" s="3" t="str">
        <f>IF(ISERROR(MATCH(A397,'SegEnds_Xtal_Prot#'!B:B, 0)), "NoXtal", "Xtal")</f>
        <v>NoXtal</v>
      </c>
      <c r="AP397" s="3">
        <f t="shared" si="254"/>
        <v>1</v>
      </c>
      <c r="AQ397" s="3">
        <f t="shared" si="255"/>
        <v>1</v>
      </c>
      <c r="AR397" s="3" t="str">
        <f t="shared" si="256"/>
        <v>-</v>
      </c>
      <c r="AS397" s="3" t="str">
        <f t="shared" si="257"/>
        <v>-</v>
      </c>
      <c r="AT397" s="3">
        <f t="shared" si="258"/>
        <v>3</v>
      </c>
      <c r="AU397" s="3">
        <f t="shared" si="259"/>
        <v>1</v>
      </c>
      <c r="AV397" s="3" t="str">
        <f t="shared" si="260"/>
        <v>-</v>
      </c>
      <c r="AW397" s="3" t="str">
        <f t="shared" si="261"/>
        <v>-</v>
      </c>
      <c r="AX397" s="3">
        <f t="shared" si="262"/>
        <v>10</v>
      </c>
      <c r="AY397" s="3">
        <f t="shared" si="263"/>
        <v>6</v>
      </c>
      <c r="AZ397" s="3">
        <f t="shared" si="264"/>
        <v>1</v>
      </c>
      <c r="BA397" s="3">
        <f>IF(ISERROR(LEN(VLOOKUP(A397,Seqs!A:E,2,FALSE))-AL397),"-",LEN(VLOOKUP(A397,Seqs!A:E,2,FALSE))-AL397)</f>
        <v>13</v>
      </c>
      <c r="BB397" s="16">
        <f t="shared" si="265"/>
        <v>31</v>
      </c>
      <c r="BC397" s="9">
        <f t="shared" si="266"/>
        <v>20</v>
      </c>
      <c r="BD397" s="3">
        <f t="shared" si="267"/>
        <v>31</v>
      </c>
      <c r="BE397" s="3">
        <f t="shared" si="268"/>
        <v>53</v>
      </c>
      <c r="BF397" s="3">
        <f t="shared" si="253"/>
        <v>36</v>
      </c>
    </row>
    <row r="398" spans="1:58" s="3" customFormat="1" x14ac:dyDescent="0.2">
      <c r="A398" s="3" t="s">
        <v>456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8"/>
        <v>36</v>
      </c>
      <c r="F398" s="3">
        <f t="shared" si="249"/>
        <v>37</v>
      </c>
      <c r="G398" s="3">
        <v>39</v>
      </c>
      <c r="H398" s="3">
        <f t="shared" si="250"/>
        <v>40</v>
      </c>
      <c r="I398" s="3">
        <f t="shared" si="250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1"/>
        <v>115</v>
      </c>
      <c r="S398" s="3">
        <v>115</v>
      </c>
      <c r="T398" s="100">
        <f t="shared" si="252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9"/>
        <v>1</v>
      </c>
      <c r="AO398" s="3" t="str">
        <f>IF(ISERROR(MATCH(A398,'SegEnds_Xtal_Prot#'!B:B, 0)), "NoXtal", "Xtal")</f>
        <v>NoXtal</v>
      </c>
      <c r="AP398" s="3">
        <f t="shared" si="254"/>
        <v>1</v>
      </c>
      <c r="AQ398" s="3">
        <f t="shared" si="255"/>
        <v>1</v>
      </c>
      <c r="AR398" s="3" t="str">
        <f t="shared" si="256"/>
        <v>-</v>
      </c>
      <c r="AS398" s="3" t="str">
        <f t="shared" si="257"/>
        <v>-</v>
      </c>
      <c r="AT398" s="3">
        <f t="shared" si="258"/>
        <v>3</v>
      </c>
      <c r="AU398" s="3">
        <f t="shared" si="259"/>
        <v>1</v>
      </c>
      <c r="AV398" s="3" t="str">
        <f t="shared" si="260"/>
        <v>-</v>
      </c>
      <c r="AW398" s="3" t="str">
        <f t="shared" si="261"/>
        <v>-</v>
      </c>
      <c r="AX398" s="3">
        <f t="shared" si="262"/>
        <v>10</v>
      </c>
      <c r="AY398" s="3">
        <f t="shared" si="263"/>
        <v>6</v>
      </c>
      <c r="AZ398" s="3">
        <f t="shared" si="264"/>
        <v>1</v>
      </c>
      <c r="BA398" s="3">
        <f>IF(ISERROR(LEN(VLOOKUP(A398,Seqs!A:E,2,FALSE))-AL398),"-",LEN(VLOOKUP(A398,Seqs!A:E,2,FALSE))-AL398)</f>
        <v>23</v>
      </c>
      <c r="BB398" s="16">
        <f t="shared" si="265"/>
        <v>31</v>
      </c>
      <c r="BC398" s="9">
        <f t="shared" si="266"/>
        <v>20</v>
      </c>
      <c r="BD398" s="3">
        <f t="shared" si="267"/>
        <v>31</v>
      </c>
      <c r="BE398" s="3">
        <f t="shared" si="268"/>
        <v>53</v>
      </c>
      <c r="BF398" s="3">
        <f t="shared" si="253"/>
        <v>36</v>
      </c>
    </row>
    <row r="399" spans="1:58" s="3" customFormat="1" x14ac:dyDescent="0.2">
      <c r="A399" s="3" t="s">
        <v>457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8"/>
        <v>36</v>
      </c>
      <c r="F399" s="3">
        <f t="shared" si="249"/>
        <v>37</v>
      </c>
      <c r="G399" s="3">
        <v>39</v>
      </c>
      <c r="H399" s="3">
        <f t="shared" si="250"/>
        <v>40</v>
      </c>
      <c r="I399" s="3">
        <f t="shared" si="250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1"/>
        <v>115</v>
      </c>
      <c r="S399" s="3">
        <v>115</v>
      </c>
      <c r="T399" s="100">
        <f t="shared" si="252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9"/>
        <v>1</v>
      </c>
      <c r="AO399" s="3" t="str">
        <f>IF(ISERROR(MATCH(A399,'SegEnds_Xtal_Prot#'!B:B, 0)), "NoXtal", "Xtal")</f>
        <v>NoXtal</v>
      </c>
      <c r="AP399" s="3">
        <f t="shared" si="254"/>
        <v>1</v>
      </c>
      <c r="AQ399" s="3">
        <f t="shared" si="255"/>
        <v>1</v>
      </c>
      <c r="AR399" s="3" t="str">
        <f t="shared" si="256"/>
        <v>-</v>
      </c>
      <c r="AS399" s="3" t="str">
        <f t="shared" si="257"/>
        <v>-</v>
      </c>
      <c r="AT399" s="3">
        <f t="shared" si="258"/>
        <v>3</v>
      </c>
      <c r="AU399" s="3">
        <f t="shared" si="259"/>
        <v>1</v>
      </c>
      <c r="AV399" s="3" t="str">
        <f t="shared" si="260"/>
        <v>-</v>
      </c>
      <c r="AW399" s="3" t="str">
        <f t="shared" si="261"/>
        <v>-</v>
      </c>
      <c r="AX399" s="3">
        <f t="shared" si="262"/>
        <v>10</v>
      </c>
      <c r="AY399" s="3">
        <f t="shared" si="263"/>
        <v>6</v>
      </c>
      <c r="AZ399" s="3">
        <f t="shared" si="264"/>
        <v>1</v>
      </c>
      <c r="BA399" s="3">
        <f>IF(ISERROR(LEN(VLOOKUP(A399,Seqs!A:E,2,FALSE))-AL399),"-",LEN(VLOOKUP(A399,Seqs!A:E,2,FALSE))-AL399)</f>
        <v>13</v>
      </c>
      <c r="BB399" s="16">
        <f t="shared" si="265"/>
        <v>31</v>
      </c>
      <c r="BC399" s="9">
        <f t="shared" si="266"/>
        <v>20</v>
      </c>
      <c r="BD399" s="3">
        <f t="shared" si="267"/>
        <v>31</v>
      </c>
      <c r="BE399" s="3">
        <f t="shared" si="268"/>
        <v>53</v>
      </c>
      <c r="BF399" s="3">
        <f t="shared" si="253"/>
        <v>36</v>
      </c>
    </row>
    <row r="400" spans="1:58" s="3" customFormat="1" x14ac:dyDescent="0.2">
      <c r="A400" s="3" t="s">
        <v>458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8"/>
        <v>45</v>
      </c>
      <c r="F400" s="3">
        <f t="shared" si="249"/>
        <v>46</v>
      </c>
      <c r="G400" s="3">
        <v>48</v>
      </c>
      <c r="H400" s="3">
        <f t="shared" si="250"/>
        <v>49</v>
      </c>
      <c r="I400" s="3">
        <f t="shared" si="250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1"/>
        <v>126</v>
      </c>
      <c r="S400" s="3">
        <v>126</v>
      </c>
      <c r="T400" s="100">
        <f t="shared" si="252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9"/>
        <v>1</v>
      </c>
      <c r="AO400" s="3" t="str">
        <f>IF(ISERROR(MATCH(A400,'SegEnds_Xtal_Prot#'!B:B, 0)), "NoXtal", "Xtal")</f>
        <v>NoXtal</v>
      </c>
      <c r="AP400" s="3">
        <f t="shared" si="254"/>
        <v>1</v>
      </c>
      <c r="AQ400" s="3">
        <f t="shared" si="255"/>
        <v>1</v>
      </c>
      <c r="AR400" s="3" t="str">
        <f t="shared" si="256"/>
        <v>-</v>
      </c>
      <c r="AS400" s="3" t="str">
        <f t="shared" si="257"/>
        <v>-</v>
      </c>
      <c r="AT400" s="3">
        <f t="shared" si="258"/>
        <v>3</v>
      </c>
      <c r="AU400" s="3">
        <f t="shared" si="259"/>
        <v>1</v>
      </c>
      <c r="AV400" s="3" t="str">
        <f t="shared" si="260"/>
        <v>-</v>
      </c>
      <c r="AW400" s="3" t="str">
        <f t="shared" si="261"/>
        <v>-</v>
      </c>
      <c r="AX400" s="3">
        <f t="shared" si="262"/>
        <v>10</v>
      </c>
      <c r="AY400" s="3">
        <f t="shared" si="263"/>
        <v>6</v>
      </c>
      <c r="AZ400" s="3">
        <f t="shared" si="264"/>
        <v>1</v>
      </c>
      <c r="BA400" s="3">
        <f>IF(ISERROR(LEN(VLOOKUP(A400,Seqs!A:E,2,FALSE))-AL400),"-",LEN(VLOOKUP(A400,Seqs!A:E,2,FALSE))-AL400)</f>
        <v>19</v>
      </c>
      <c r="BB400" s="16">
        <f t="shared" si="265"/>
        <v>31</v>
      </c>
      <c r="BC400" s="9">
        <f t="shared" si="266"/>
        <v>20</v>
      </c>
      <c r="BD400" s="3">
        <f t="shared" si="267"/>
        <v>31</v>
      </c>
      <c r="BE400" s="3">
        <f t="shared" si="268"/>
        <v>53</v>
      </c>
      <c r="BF400" s="3">
        <f t="shared" si="253"/>
        <v>36</v>
      </c>
    </row>
    <row r="401" spans="1:58" s="3" customFormat="1" x14ac:dyDescent="0.2">
      <c r="A401" s="3" t="s">
        <v>459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8"/>
        <v>64</v>
      </c>
      <c r="F401" s="3">
        <f t="shared" si="249"/>
        <v>65</v>
      </c>
      <c r="G401" s="3">
        <v>67</v>
      </c>
      <c r="H401" s="3">
        <f t="shared" si="250"/>
        <v>68</v>
      </c>
      <c r="I401" s="3">
        <f t="shared" si="250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1"/>
        <v>144</v>
      </c>
      <c r="S401" s="3">
        <v>144</v>
      </c>
      <c r="T401" s="100">
        <f t="shared" si="252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9"/>
        <v>1</v>
      </c>
      <c r="AO401" s="3" t="str">
        <f>IF(ISERROR(MATCH(A401,'SegEnds_Xtal_Prot#'!B:B, 0)), "NoXtal", "Xtal")</f>
        <v>NoXtal</v>
      </c>
      <c r="AP401" s="3">
        <f t="shared" si="254"/>
        <v>1</v>
      </c>
      <c r="AQ401" s="3">
        <f t="shared" si="255"/>
        <v>1</v>
      </c>
      <c r="AR401" s="3" t="str">
        <f t="shared" si="256"/>
        <v>-</v>
      </c>
      <c r="AS401" s="3" t="str">
        <f t="shared" si="257"/>
        <v>-</v>
      </c>
      <c r="AT401" s="3">
        <f t="shared" si="258"/>
        <v>3</v>
      </c>
      <c r="AU401" s="3">
        <f t="shared" si="259"/>
        <v>1</v>
      </c>
      <c r="AV401" s="3" t="str">
        <f t="shared" si="260"/>
        <v>-</v>
      </c>
      <c r="AW401" s="3" t="str">
        <f t="shared" si="261"/>
        <v>-</v>
      </c>
      <c r="AX401" s="3">
        <f t="shared" si="262"/>
        <v>10</v>
      </c>
      <c r="AY401" s="3">
        <f t="shared" si="263"/>
        <v>5</v>
      </c>
      <c r="AZ401" s="3">
        <f t="shared" si="264"/>
        <v>1</v>
      </c>
      <c r="BA401" s="3">
        <f>IF(ISERROR(LEN(VLOOKUP(A401,Seqs!A:E,2,FALSE))-AL401),"-",LEN(VLOOKUP(A401,Seqs!A:E,2,FALSE))-AL401)</f>
        <v>10</v>
      </c>
      <c r="BB401" s="16">
        <f t="shared" si="265"/>
        <v>31</v>
      </c>
      <c r="BC401" s="9">
        <f t="shared" si="266"/>
        <v>20</v>
      </c>
      <c r="BD401" s="3">
        <f t="shared" si="267"/>
        <v>31</v>
      </c>
      <c r="BE401" s="3">
        <f t="shared" si="268"/>
        <v>53</v>
      </c>
      <c r="BF401" s="3">
        <f t="shared" si="253"/>
        <v>35</v>
      </c>
    </row>
    <row r="402" spans="1:58" s="3" customFormat="1" x14ac:dyDescent="0.2">
      <c r="A402" s="3" t="s">
        <v>460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8"/>
        <v>48</v>
      </c>
      <c r="F402" s="3">
        <f t="shared" si="249"/>
        <v>49</v>
      </c>
      <c r="G402" s="3">
        <v>51</v>
      </c>
      <c r="H402" s="3">
        <f t="shared" si="250"/>
        <v>52</v>
      </c>
      <c r="I402" s="3">
        <f t="shared" si="250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1"/>
        <v>128</v>
      </c>
      <c r="S402" s="3">
        <v>128</v>
      </c>
      <c r="T402" s="100">
        <f t="shared" si="252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9"/>
        <v>1</v>
      </c>
      <c r="AO402" s="3" t="str">
        <f>IF(ISERROR(MATCH(A402,'SegEnds_Xtal_Prot#'!B:B, 0)), "NoXtal", "Xtal")</f>
        <v>NoXtal</v>
      </c>
      <c r="AP402" s="3">
        <f t="shared" si="254"/>
        <v>1</v>
      </c>
      <c r="AQ402" s="3">
        <f t="shared" si="255"/>
        <v>1</v>
      </c>
      <c r="AR402" s="3" t="str">
        <f t="shared" si="256"/>
        <v>-</v>
      </c>
      <c r="AS402" s="3" t="str">
        <f t="shared" si="257"/>
        <v>-</v>
      </c>
      <c r="AT402" s="3">
        <f t="shared" si="258"/>
        <v>3</v>
      </c>
      <c r="AU402" s="3">
        <f t="shared" si="259"/>
        <v>1</v>
      </c>
      <c r="AV402" s="3" t="str">
        <f t="shared" si="260"/>
        <v>-</v>
      </c>
      <c r="AW402" s="3" t="str">
        <f t="shared" si="261"/>
        <v>-</v>
      </c>
      <c r="AX402" s="3">
        <f t="shared" si="262"/>
        <v>10</v>
      </c>
      <c r="AY402" s="3">
        <f t="shared" si="263"/>
        <v>5</v>
      </c>
      <c r="AZ402" s="3">
        <f t="shared" si="264"/>
        <v>1</v>
      </c>
      <c r="BA402" s="3">
        <f>IF(ISERROR(LEN(VLOOKUP(A402,Seqs!A:E,2,FALSE))-AL402),"-",LEN(VLOOKUP(A402,Seqs!A:E,2,FALSE))-AL402)</f>
        <v>10</v>
      </c>
      <c r="BB402" s="16">
        <f t="shared" si="265"/>
        <v>31</v>
      </c>
      <c r="BC402" s="9">
        <f t="shared" si="266"/>
        <v>20</v>
      </c>
      <c r="BD402" s="3">
        <f t="shared" si="267"/>
        <v>31</v>
      </c>
      <c r="BE402" s="3">
        <f t="shared" si="268"/>
        <v>53</v>
      </c>
      <c r="BF402" s="3">
        <f t="shared" si="253"/>
        <v>35</v>
      </c>
    </row>
    <row r="403" spans="1:58" s="3" customFormat="1" x14ac:dyDescent="0.2">
      <c r="A403" s="3" t="s">
        <v>461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8"/>
        <v>36</v>
      </c>
      <c r="F403" s="3">
        <f t="shared" si="249"/>
        <v>37</v>
      </c>
      <c r="G403" s="3">
        <v>39</v>
      </c>
      <c r="H403" s="3">
        <f t="shared" si="250"/>
        <v>40</v>
      </c>
      <c r="I403" s="3">
        <f t="shared" si="250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1"/>
        <v>116</v>
      </c>
      <c r="S403" s="3">
        <v>116</v>
      </c>
      <c r="T403" s="100">
        <f t="shared" si="252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9"/>
        <v>1</v>
      </c>
      <c r="AO403" s="3" t="str">
        <f>IF(ISERROR(MATCH(A403,'SegEnds_Xtal_Prot#'!B:B, 0)), "NoXtal", "Xtal")</f>
        <v>NoXtal</v>
      </c>
      <c r="AP403" s="3">
        <f t="shared" si="254"/>
        <v>1</v>
      </c>
      <c r="AQ403" s="3">
        <f t="shared" si="255"/>
        <v>1</v>
      </c>
      <c r="AR403" s="3" t="str">
        <f t="shared" si="256"/>
        <v>-</v>
      </c>
      <c r="AS403" s="3" t="str">
        <f t="shared" si="257"/>
        <v>-</v>
      </c>
      <c r="AT403" s="3">
        <f t="shared" si="258"/>
        <v>3</v>
      </c>
      <c r="AU403" s="3">
        <f t="shared" si="259"/>
        <v>1</v>
      </c>
      <c r="AV403" s="3" t="str">
        <f t="shared" si="260"/>
        <v>-</v>
      </c>
      <c r="AW403" s="3" t="str">
        <f t="shared" si="261"/>
        <v>-</v>
      </c>
      <c r="AX403" s="3">
        <f t="shared" si="262"/>
        <v>10</v>
      </c>
      <c r="AY403" s="3">
        <f t="shared" si="263"/>
        <v>5</v>
      </c>
      <c r="AZ403" s="3">
        <f t="shared" si="264"/>
        <v>1</v>
      </c>
      <c r="BA403" s="3">
        <f>IF(ISERROR(LEN(VLOOKUP(A403,Seqs!A:E,2,FALSE))-AL403),"-",LEN(VLOOKUP(A403,Seqs!A:E,2,FALSE))-AL403)</f>
        <v>7</v>
      </c>
      <c r="BB403" s="16">
        <f t="shared" si="265"/>
        <v>31</v>
      </c>
      <c r="BC403" s="9">
        <f t="shared" si="266"/>
        <v>20</v>
      </c>
      <c r="BD403" s="3">
        <f t="shared" si="267"/>
        <v>31</v>
      </c>
      <c r="BE403" s="3">
        <f t="shared" si="268"/>
        <v>53</v>
      </c>
      <c r="BF403" s="3">
        <f t="shared" si="253"/>
        <v>35</v>
      </c>
    </row>
    <row r="404" spans="1:58" s="3" customFormat="1" x14ac:dyDescent="0.2">
      <c r="A404" s="3" t="s">
        <v>462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8"/>
        <v>36</v>
      </c>
      <c r="F404" s="3">
        <f t="shared" si="249"/>
        <v>37</v>
      </c>
      <c r="G404" s="3">
        <v>39</v>
      </c>
      <c r="H404" s="3">
        <f t="shared" si="250"/>
        <v>40</v>
      </c>
      <c r="I404" s="3">
        <f t="shared" si="250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1"/>
        <v>116</v>
      </c>
      <c r="S404" s="3">
        <v>116</v>
      </c>
      <c r="T404" s="100">
        <f t="shared" si="252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9"/>
        <v>1</v>
      </c>
      <c r="AO404" s="3" t="str">
        <f>IF(ISERROR(MATCH(A404,'SegEnds_Xtal_Prot#'!B:B, 0)), "NoXtal", "Xtal")</f>
        <v>NoXtal</v>
      </c>
      <c r="AP404" s="3">
        <f t="shared" si="254"/>
        <v>1</v>
      </c>
      <c r="AQ404" s="3">
        <f t="shared" si="255"/>
        <v>1</v>
      </c>
      <c r="AR404" s="3" t="str">
        <f t="shared" si="256"/>
        <v>-</v>
      </c>
      <c r="AS404" s="3" t="str">
        <f t="shared" si="257"/>
        <v>-</v>
      </c>
      <c r="AT404" s="3">
        <f t="shared" si="258"/>
        <v>3</v>
      </c>
      <c r="AU404" s="3">
        <f t="shared" si="259"/>
        <v>1</v>
      </c>
      <c r="AV404" s="3" t="str">
        <f t="shared" si="260"/>
        <v>-</v>
      </c>
      <c r="AW404" s="3" t="str">
        <f t="shared" si="261"/>
        <v>-</v>
      </c>
      <c r="AX404" s="3">
        <f t="shared" si="262"/>
        <v>10</v>
      </c>
      <c r="AY404" s="3">
        <f t="shared" si="263"/>
        <v>6</v>
      </c>
      <c r="AZ404" s="3">
        <f t="shared" si="264"/>
        <v>1</v>
      </c>
      <c r="BA404" s="3">
        <f>IF(ISERROR(LEN(VLOOKUP(A404,Seqs!A:E,2,FALSE))-AL404),"-",LEN(VLOOKUP(A404,Seqs!A:E,2,FALSE))-AL404)</f>
        <v>13</v>
      </c>
      <c r="BB404" s="16">
        <f t="shared" si="265"/>
        <v>31</v>
      </c>
      <c r="BC404" s="9">
        <f t="shared" si="266"/>
        <v>20</v>
      </c>
      <c r="BD404" s="3">
        <f t="shared" si="267"/>
        <v>31</v>
      </c>
      <c r="BE404" s="3">
        <f t="shared" si="268"/>
        <v>53</v>
      </c>
      <c r="BF404" s="3">
        <f t="shared" si="253"/>
        <v>36</v>
      </c>
    </row>
    <row r="405" spans="1:58" s="3" customFormat="1" x14ac:dyDescent="0.2">
      <c r="A405" s="3" t="s">
        <v>463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8"/>
        <v>36</v>
      </c>
      <c r="F405" s="3">
        <f t="shared" si="249"/>
        <v>37</v>
      </c>
      <c r="G405" s="3">
        <v>39</v>
      </c>
      <c r="H405" s="3">
        <f t="shared" si="250"/>
        <v>40</v>
      </c>
      <c r="I405" s="3">
        <f t="shared" si="250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1"/>
        <v>115</v>
      </c>
      <c r="S405" s="3">
        <v>115</v>
      </c>
      <c r="T405" s="100">
        <f t="shared" si="252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9"/>
        <v>1</v>
      </c>
      <c r="AO405" s="3" t="str">
        <f>IF(ISERROR(MATCH(A405,'SegEnds_Xtal_Prot#'!B:B, 0)), "NoXtal", "Xtal")</f>
        <v>NoXtal</v>
      </c>
      <c r="AP405" s="3">
        <f t="shared" si="254"/>
        <v>1</v>
      </c>
      <c r="AQ405" s="3">
        <f t="shared" si="255"/>
        <v>1</v>
      </c>
      <c r="AR405" s="3" t="str">
        <f t="shared" si="256"/>
        <v>-</v>
      </c>
      <c r="AS405" s="3" t="str">
        <f t="shared" si="257"/>
        <v>-</v>
      </c>
      <c r="AT405" s="3">
        <f t="shared" si="258"/>
        <v>3</v>
      </c>
      <c r="AU405" s="3">
        <f t="shared" si="259"/>
        <v>1</v>
      </c>
      <c r="AV405" s="3" t="str">
        <f t="shared" si="260"/>
        <v>-</v>
      </c>
      <c r="AW405" s="3" t="str">
        <f t="shared" si="261"/>
        <v>-</v>
      </c>
      <c r="AX405" s="3">
        <f t="shared" si="262"/>
        <v>10</v>
      </c>
      <c r="AY405" s="3">
        <f t="shared" si="263"/>
        <v>6</v>
      </c>
      <c r="AZ405" s="3">
        <f t="shared" si="264"/>
        <v>1</v>
      </c>
      <c r="BA405" s="3">
        <f>IF(ISERROR(LEN(VLOOKUP(A405,Seqs!A:E,2,FALSE))-AL405),"-",LEN(VLOOKUP(A405,Seqs!A:E,2,FALSE))-AL405)</f>
        <v>13</v>
      </c>
      <c r="BB405" s="16">
        <f t="shared" si="265"/>
        <v>31</v>
      </c>
      <c r="BC405" s="9">
        <f t="shared" si="266"/>
        <v>20</v>
      </c>
      <c r="BD405" s="3">
        <f t="shared" si="267"/>
        <v>31</v>
      </c>
      <c r="BE405" s="3">
        <f t="shared" si="268"/>
        <v>53</v>
      </c>
      <c r="BF405" s="3">
        <f t="shared" si="253"/>
        <v>36</v>
      </c>
    </row>
    <row r="406" spans="1:58" s="3" customFormat="1" x14ac:dyDescent="0.2">
      <c r="A406" s="3" t="s">
        <v>923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8"/>
        <v>36</v>
      </c>
      <c r="F406" s="3">
        <f t="shared" si="249"/>
        <v>37</v>
      </c>
      <c r="G406" s="3">
        <v>39</v>
      </c>
      <c r="H406" s="3">
        <f t="shared" si="250"/>
        <v>40</v>
      </c>
      <c r="I406" s="3">
        <f t="shared" si="250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1"/>
        <v>115</v>
      </c>
      <c r="S406" s="3">
        <v>115</v>
      </c>
      <c r="T406" s="100">
        <f t="shared" si="252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9"/>
        <v>1</v>
      </c>
      <c r="AO406" s="3" t="str">
        <f>IF(ISERROR(MATCH(A406,'SegEnds_Xtal_Prot#'!B:B, 0)), "NoXtal", "Xtal")</f>
        <v>NoXtal</v>
      </c>
      <c r="AP406" s="3">
        <f t="shared" si="254"/>
        <v>1</v>
      </c>
      <c r="AQ406" s="3">
        <f t="shared" si="255"/>
        <v>1</v>
      </c>
      <c r="AR406" s="3" t="str">
        <f t="shared" si="256"/>
        <v>-</v>
      </c>
      <c r="AS406" s="3" t="str">
        <f t="shared" si="257"/>
        <v>-</v>
      </c>
      <c r="AT406" s="3">
        <f t="shared" si="258"/>
        <v>3</v>
      </c>
      <c r="AU406" s="3">
        <f t="shared" si="259"/>
        <v>1</v>
      </c>
      <c r="AV406" s="3" t="str">
        <f t="shared" si="260"/>
        <v>-</v>
      </c>
      <c r="AW406" s="3" t="str">
        <f t="shared" si="261"/>
        <v>-</v>
      </c>
      <c r="AX406" s="3">
        <f t="shared" si="262"/>
        <v>13</v>
      </c>
      <c r="AY406" s="3">
        <f t="shared" si="263"/>
        <v>5</v>
      </c>
      <c r="AZ406" s="3">
        <f t="shared" si="264"/>
        <v>1</v>
      </c>
      <c r="BA406" s="3">
        <f>IF(ISERROR(LEN(VLOOKUP(A406,Seqs!A:E,2,FALSE))-AL406),"-",LEN(VLOOKUP(A406,Seqs!A:E,2,FALSE))-AL406)</f>
        <v>3</v>
      </c>
      <c r="BB406" s="16">
        <f t="shared" si="265"/>
        <v>31</v>
      </c>
      <c r="BC406" s="9">
        <f t="shared" si="266"/>
        <v>20</v>
      </c>
      <c r="BD406" s="3">
        <f t="shared" si="267"/>
        <v>31</v>
      </c>
      <c r="BE406" s="3">
        <f t="shared" si="268"/>
        <v>56</v>
      </c>
      <c r="BF406" s="3">
        <f t="shared" si="253"/>
        <v>33</v>
      </c>
    </row>
    <row r="407" spans="1:58" s="3" customFormat="1" x14ac:dyDescent="0.2">
      <c r="A407" s="3" t="s">
        <v>464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8"/>
        <v>36</v>
      </c>
      <c r="F407" s="3">
        <f t="shared" si="249"/>
        <v>37</v>
      </c>
      <c r="G407" s="3">
        <v>39</v>
      </c>
      <c r="H407" s="3">
        <f t="shared" si="250"/>
        <v>40</v>
      </c>
      <c r="I407" s="3">
        <f t="shared" si="250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1"/>
        <v>115</v>
      </c>
      <c r="S407" s="3">
        <v>115</v>
      </c>
      <c r="T407" s="100">
        <f t="shared" si="252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9"/>
        <v>1</v>
      </c>
      <c r="AO407" s="3" t="str">
        <f>IF(ISERROR(MATCH(A407,'SegEnds_Xtal_Prot#'!B:B, 0)), "NoXtal", "Xtal")</f>
        <v>NoXtal</v>
      </c>
      <c r="AP407" s="3">
        <f t="shared" si="254"/>
        <v>1</v>
      </c>
      <c r="AQ407" s="3">
        <f t="shared" si="255"/>
        <v>1</v>
      </c>
      <c r="AR407" s="3" t="str">
        <f t="shared" si="256"/>
        <v>-</v>
      </c>
      <c r="AS407" s="3" t="str">
        <f t="shared" si="257"/>
        <v>-</v>
      </c>
      <c r="AT407" s="3">
        <f t="shared" si="258"/>
        <v>3</v>
      </c>
      <c r="AU407" s="3">
        <f t="shared" si="259"/>
        <v>1</v>
      </c>
      <c r="AV407" s="3" t="str">
        <f t="shared" si="260"/>
        <v>-</v>
      </c>
      <c r="AW407" s="3" t="str">
        <f t="shared" si="261"/>
        <v>-</v>
      </c>
      <c r="AX407" s="3">
        <f t="shared" si="262"/>
        <v>10</v>
      </c>
      <c r="AY407" s="3">
        <f t="shared" si="263"/>
        <v>6</v>
      </c>
      <c r="AZ407" s="3">
        <f t="shared" si="264"/>
        <v>1</v>
      </c>
      <c r="BA407" s="3">
        <f>IF(ISERROR(LEN(VLOOKUP(A407,Seqs!A:E,2,FALSE))-AL407),"-",LEN(VLOOKUP(A407,Seqs!A:E,2,FALSE))-AL407)</f>
        <v>13</v>
      </c>
      <c r="BB407" s="16">
        <f t="shared" si="265"/>
        <v>31</v>
      </c>
      <c r="BC407" s="9">
        <f t="shared" si="266"/>
        <v>20</v>
      </c>
      <c r="BD407" s="3">
        <f t="shared" si="267"/>
        <v>31</v>
      </c>
      <c r="BE407" s="3">
        <f t="shared" si="268"/>
        <v>53</v>
      </c>
      <c r="BF407" s="3">
        <f t="shared" si="253"/>
        <v>36</v>
      </c>
    </row>
    <row r="408" spans="1:58" s="3" customFormat="1" x14ac:dyDescent="0.2">
      <c r="A408" s="3" t="s">
        <v>465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8"/>
        <v>36</v>
      </c>
      <c r="F408" s="3">
        <f t="shared" si="249"/>
        <v>37</v>
      </c>
      <c r="G408" s="3">
        <v>39</v>
      </c>
      <c r="H408" s="3">
        <f t="shared" si="250"/>
        <v>40</v>
      </c>
      <c r="I408" s="3">
        <f t="shared" si="250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1"/>
        <v>115</v>
      </c>
      <c r="S408" s="3">
        <v>115</v>
      </c>
      <c r="T408" s="100">
        <f t="shared" si="252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9"/>
        <v>1</v>
      </c>
      <c r="AO408" s="3" t="str">
        <f>IF(ISERROR(MATCH(A408,'SegEnds_Xtal_Prot#'!B:B, 0)), "NoXtal", "Xtal")</f>
        <v>NoXtal</v>
      </c>
      <c r="AP408" s="3">
        <f t="shared" si="254"/>
        <v>1</v>
      </c>
      <c r="AQ408" s="3">
        <f t="shared" si="255"/>
        <v>1</v>
      </c>
      <c r="AR408" s="3" t="str">
        <f t="shared" si="256"/>
        <v>-</v>
      </c>
      <c r="AS408" s="3" t="str">
        <f t="shared" si="257"/>
        <v>-</v>
      </c>
      <c r="AT408" s="3">
        <f t="shared" si="258"/>
        <v>3</v>
      </c>
      <c r="AU408" s="3">
        <f t="shared" si="259"/>
        <v>1</v>
      </c>
      <c r="AV408" s="3" t="str">
        <f t="shared" si="260"/>
        <v>-</v>
      </c>
      <c r="AW408" s="3" t="str">
        <f t="shared" si="261"/>
        <v>-</v>
      </c>
      <c r="AX408" s="3">
        <f t="shared" si="262"/>
        <v>10</v>
      </c>
      <c r="AY408" s="3">
        <f t="shared" si="263"/>
        <v>6</v>
      </c>
      <c r="AZ408" s="3">
        <f t="shared" si="264"/>
        <v>1</v>
      </c>
      <c r="BA408" s="3">
        <f>IF(ISERROR(LEN(VLOOKUP(A408,Seqs!A:E,2,FALSE))-AL408),"-",LEN(VLOOKUP(A408,Seqs!A:E,2,FALSE))-AL408)</f>
        <v>3</v>
      </c>
      <c r="BB408" s="16">
        <f t="shared" si="265"/>
        <v>31</v>
      </c>
      <c r="BC408" s="9">
        <f t="shared" si="266"/>
        <v>20</v>
      </c>
      <c r="BD408" s="3">
        <f t="shared" si="267"/>
        <v>31</v>
      </c>
      <c r="BE408" s="3">
        <f t="shared" si="268"/>
        <v>53</v>
      </c>
      <c r="BF408" s="3">
        <f t="shared" si="253"/>
        <v>36</v>
      </c>
    </row>
    <row r="409" spans="1:58" s="3" customFormat="1" x14ac:dyDescent="0.2">
      <c r="A409" s="3" t="s">
        <v>466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8"/>
        <v>47</v>
      </c>
      <c r="F409" s="3">
        <f t="shared" si="249"/>
        <v>48</v>
      </c>
      <c r="G409" s="3">
        <v>50</v>
      </c>
      <c r="H409" s="3">
        <f t="shared" si="250"/>
        <v>51</v>
      </c>
      <c r="I409" s="3">
        <f t="shared" si="250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1"/>
        <v>127</v>
      </c>
      <c r="S409" s="3">
        <v>127</v>
      </c>
      <c r="T409" s="100">
        <f t="shared" si="252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9"/>
        <v>1</v>
      </c>
      <c r="AO409" s="3" t="str">
        <f>IF(ISERROR(MATCH(A409,'SegEnds_Xtal_Prot#'!B:B, 0)), "NoXtal", "Xtal")</f>
        <v>NoXtal</v>
      </c>
      <c r="AP409" s="3">
        <f t="shared" si="254"/>
        <v>1</v>
      </c>
      <c r="AQ409" s="3">
        <f t="shared" si="255"/>
        <v>1</v>
      </c>
      <c r="AR409" s="3" t="str">
        <f t="shared" si="256"/>
        <v>-</v>
      </c>
      <c r="AS409" s="3" t="str">
        <f t="shared" si="257"/>
        <v>-</v>
      </c>
      <c r="AT409" s="3">
        <f t="shared" si="258"/>
        <v>3</v>
      </c>
      <c r="AU409" s="3">
        <f t="shared" si="259"/>
        <v>1</v>
      </c>
      <c r="AV409" s="3" t="str">
        <f t="shared" si="260"/>
        <v>-</v>
      </c>
      <c r="AW409" s="3" t="str">
        <f t="shared" si="261"/>
        <v>-</v>
      </c>
      <c r="AX409" s="3">
        <f t="shared" si="262"/>
        <v>10</v>
      </c>
      <c r="AY409" s="3">
        <f t="shared" si="263"/>
        <v>5</v>
      </c>
      <c r="AZ409" s="3">
        <f t="shared" si="264"/>
        <v>1</v>
      </c>
      <c r="BA409" s="3">
        <f>IF(ISERROR(LEN(VLOOKUP(A409,Seqs!A:E,2,FALSE))-AL409),"-",LEN(VLOOKUP(A409,Seqs!A:E,2,FALSE))-AL409)</f>
        <v>5</v>
      </c>
      <c r="BB409" s="16">
        <f t="shared" si="265"/>
        <v>31</v>
      </c>
      <c r="BC409" s="9">
        <f t="shared" si="266"/>
        <v>20</v>
      </c>
      <c r="BD409" s="3">
        <f t="shared" si="267"/>
        <v>31</v>
      </c>
      <c r="BE409" s="3">
        <f t="shared" si="268"/>
        <v>53</v>
      </c>
      <c r="BF409" s="3">
        <f t="shared" si="253"/>
        <v>35</v>
      </c>
    </row>
    <row r="410" spans="1:58" s="3" customFormat="1" x14ac:dyDescent="0.2">
      <c r="A410" s="3" t="s">
        <v>468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8"/>
        <v>36</v>
      </c>
      <c r="F410" s="3">
        <f t="shared" si="249"/>
        <v>37</v>
      </c>
      <c r="G410" s="3">
        <v>39</v>
      </c>
      <c r="H410" s="3">
        <f t="shared" si="250"/>
        <v>40</v>
      </c>
      <c r="I410" s="3">
        <f t="shared" si="250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1"/>
        <v>112</v>
      </c>
      <c r="S410" s="3">
        <v>112</v>
      </c>
      <c r="T410" s="100">
        <f t="shared" si="252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9"/>
        <v>1</v>
      </c>
      <c r="AO410" s="3" t="str">
        <f>IF(ISERROR(MATCH(A410,'SegEnds_Xtal_Prot#'!B:B, 0)), "NoXtal", "Xtal")</f>
        <v>NoXtal</v>
      </c>
      <c r="AP410" s="3">
        <f t="shared" si="254"/>
        <v>1</v>
      </c>
      <c r="AQ410" s="3">
        <f t="shared" si="255"/>
        <v>1</v>
      </c>
      <c r="AR410" s="3" t="str">
        <f t="shared" si="256"/>
        <v>-</v>
      </c>
      <c r="AS410" s="3" t="str">
        <f t="shared" si="257"/>
        <v>-</v>
      </c>
      <c r="AT410" s="3">
        <f t="shared" si="258"/>
        <v>3</v>
      </c>
      <c r="AU410" s="3">
        <f t="shared" si="259"/>
        <v>1</v>
      </c>
      <c r="AV410" s="3" t="str">
        <f t="shared" si="260"/>
        <v>-</v>
      </c>
      <c r="AW410" s="3" t="str">
        <f t="shared" si="261"/>
        <v>-</v>
      </c>
      <c r="AX410" s="3">
        <f t="shared" si="262"/>
        <v>10</v>
      </c>
      <c r="AY410" s="3">
        <f t="shared" si="263"/>
        <v>5</v>
      </c>
      <c r="AZ410" s="3">
        <f t="shared" si="264"/>
        <v>1</v>
      </c>
      <c r="BA410" s="3">
        <f>IF(ISERROR(LEN(VLOOKUP(A410,Seqs!A:E,2,FALSE))-AL410),"-",LEN(VLOOKUP(A410,Seqs!A:E,2,FALSE))-AL410)</f>
        <v>5</v>
      </c>
      <c r="BB410" s="16">
        <f t="shared" si="265"/>
        <v>31</v>
      </c>
      <c r="BC410" s="9">
        <f t="shared" si="266"/>
        <v>20</v>
      </c>
      <c r="BD410" s="3">
        <f t="shared" si="267"/>
        <v>31</v>
      </c>
      <c r="BE410" s="3">
        <f t="shared" si="268"/>
        <v>53</v>
      </c>
      <c r="BF410" s="3">
        <f t="shared" si="253"/>
        <v>35</v>
      </c>
    </row>
    <row r="411" spans="1:58" s="3" customFormat="1" x14ac:dyDescent="0.2">
      <c r="A411" s="3" t="s">
        <v>469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48"/>
        <v>36</v>
      </c>
      <c r="F411" s="3">
        <f t="shared" si="249"/>
        <v>37</v>
      </c>
      <c r="G411" s="3">
        <v>39</v>
      </c>
      <c r="H411" s="3">
        <f t="shared" si="250"/>
        <v>40</v>
      </c>
      <c r="I411" s="3">
        <f t="shared" si="250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1"/>
        <v>116</v>
      </c>
      <c r="S411" s="3">
        <v>116</v>
      </c>
      <c r="T411" s="100">
        <f t="shared" si="252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9"/>
        <v>1</v>
      </c>
      <c r="AO411" s="3" t="str">
        <f>IF(ISERROR(MATCH(A411,'SegEnds_Xtal_Prot#'!B:B, 0)), "NoXtal", "Xtal")</f>
        <v>NoXtal</v>
      </c>
      <c r="AP411" s="3">
        <f t="shared" si="254"/>
        <v>1</v>
      </c>
      <c r="AQ411" s="3">
        <f t="shared" si="255"/>
        <v>1</v>
      </c>
      <c r="AR411" s="3" t="str">
        <f t="shared" si="256"/>
        <v>-</v>
      </c>
      <c r="AS411" s="3" t="str">
        <f t="shared" si="257"/>
        <v>-</v>
      </c>
      <c r="AT411" s="3">
        <f t="shared" si="258"/>
        <v>3</v>
      </c>
      <c r="AU411" s="3">
        <f t="shared" si="259"/>
        <v>1</v>
      </c>
      <c r="AV411" s="3" t="str">
        <f t="shared" si="260"/>
        <v>-</v>
      </c>
      <c r="AW411" s="3" t="str">
        <f t="shared" si="261"/>
        <v>-</v>
      </c>
      <c r="AX411" s="3">
        <f t="shared" si="262"/>
        <v>10</v>
      </c>
      <c r="AY411" s="3">
        <f t="shared" si="263"/>
        <v>6</v>
      </c>
      <c r="AZ411" s="3">
        <f t="shared" si="264"/>
        <v>1</v>
      </c>
      <c r="BA411" s="3">
        <f>IF(ISERROR(LEN(VLOOKUP(A411,Seqs!A:E,2,FALSE))-AL411),"-",LEN(VLOOKUP(A411,Seqs!A:E,2,FALSE))-AL411)</f>
        <v>15</v>
      </c>
      <c r="BB411" s="16">
        <f t="shared" si="265"/>
        <v>31</v>
      </c>
      <c r="BC411" s="9">
        <f t="shared" si="266"/>
        <v>20</v>
      </c>
      <c r="BD411" s="3">
        <f t="shared" si="267"/>
        <v>31</v>
      </c>
      <c r="BE411" s="3">
        <f t="shared" si="268"/>
        <v>53</v>
      </c>
      <c r="BF411" s="3">
        <f t="shared" si="253"/>
        <v>36</v>
      </c>
    </row>
    <row r="412" spans="1:58" s="3" customFormat="1" x14ac:dyDescent="0.2">
      <c r="A412" s="3" t="s">
        <v>470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8"/>
        <v>36</v>
      </c>
      <c r="F412" s="3">
        <f t="shared" si="249"/>
        <v>37</v>
      </c>
      <c r="G412" s="3">
        <v>39</v>
      </c>
      <c r="H412" s="3">
        <f t="shared" si="250"/>
        <v>40</v>
      </c>
      <c r="I412" s="3">
        <f t="shared" si="250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1"/>
        <v>115</v>
      </c>
      <c r="S412" s="3">
        <v>115</v>
      </c>
      <c r="T412" s="100">
        <f t="shared" si="252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9"/>
        <v>1</v>
      </c>
      <c r="AO412" s="3" t="str">
        <f>IF(ISERROR(MATCH(A412,'SegEnds_Xtal_Prot#'!B:B, 0)), "NoXtal", "Xtal")</f>
        <v>NoXtal</v>
      </c>
      <c r="AP412" s="3">
        <f t="shared" si="254"/>
        <v>1</v>
      </c>
      <c r="AQ412" s="3">
        <f t="shared" si="255"/>
        <v>1</v>
      </c>
      <c r="AR412" s="3" t="str">
        <f t="shared" si="256"/>
        <v>-</v>
      </c>
      <c r="AS412" s="3" t="str">
        <f t="shared" si="257"/>
        <v>-</v>
      </c>
      <c r="AT412" s="3">
        <f t="shared" si="258"/>
        <v>3</v>
      </c>
      <c r="AU412" s="3">
        <f t="shared" si="259"/>
        <v>1</v>
      </c>
      <c r="AV412" s="3" t="str">
        <f t="shared" si="260"/>
        <v>-</v>
      </c>
      <c r="AW412" s="3" t="str">
        <f t="shared" si="261"/>
        <v>-</v>
      </c>
      <c r="AX412" s="3">
        <f t="shared" si="262"/>
        <v>10</v>
      </c>
      <c r="AY412" s="3">
        <f t="shared" si="263"/>
        <v>6</v>
      </c>
      <c r="AZ412" s="3">
        <f t="shared" si="264"/>
        <v>1</v>
      </c>
      <c r="BA412" s="3">
        <f>IF(ISERROR(LEN(VLOOKUP(A412,Seqs!A:E,2,FALSE))-AL412),"-",LEN(VLOOKUP(A412,Seqs!A:E,2,FALSE))-AL412)</f>
        <v>2</v>
      </c>
      <c r="BB412" s="16">
        <f t="shared" si="265"/>
        <v>31</v>
      </c>
      <c r="BC412" s="9">
        <f t="shared" si="266"/>
        <v>20</v>
      </c>
      <c r="BD412" s="3">
        <f t="shared" si="267"/>
        <v>31</v>
      </c>
      <c r="BE412" s="3">
        <f t="shared" si="268"/>
        <v>53</v>
      </c>
      <c r="BF412" s="3">
        <f t="shared" si="253"/>
        <v>36</v>
      </c>
    </row>
    <row r="413" spans="1:58" s="3" customFormat="1" x14ac:dyDescent="0.2">
      <c r="A413" s="3" t="s">
        <v>471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8"/>
        <v>36</v>
      </c>
      <c r="F413" s="3">
        <f t="shared" si="249"/>
        <v>37</v>
      </c>
      <c r="G413" s="3">
        <v>39</v>
      </c>
      <c r="H413" s="3">
        <f t="shared" si="250"/>
        <v>40</v>
      </c>
      <c r="I413" s="3">
        <f t="shared" si="250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1"/>
        <v>112</v>
      </c>
      <c r="S413" s="3">
        <v>112</v>
      </c>
      <c r="T413" s="100">
        <f t="shared" si="252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9"/>
        <v>1</v>
      </c>
      <c r="AO413" s="3" t="str">
        <f>IF(ISERROR(MATCH(A413,'SegEnds_Xtal_Prot#'!B:B, 0)), "NoXtal", "Xtal")</f>
        <v>NoXtal</v>
      </c>
      <c r="AP413" s="3">
        <f t="shared" si="254"/>
        <v>1</v>
      </c>
      <c r="AQ413" s="3">
        <f t="shared" si="255"/>
        <v>1</v>
      </c>
      <c r="AR413" s="3" t="str">
        <f t="shared" si="256"/>
        <v>-</v>
      </c>
      <c r="AS413" s="3" t="str">
        <f t="shared" si="257"/>
        <v>-</v>
      </c>
      <c r="AT413" s="3">
        <f t="shared" si="258"/>
        <v>3</v>
      </c>
      <c r="AU413" s="3">
        <f t="shared" si="259"/>
        <v>1</v>
      </c>
      <c r="AV413" s="3" t="str">
        <f t="shared" si="260"/>
        <v>-</v>
      </c>
      <c r="AW413" s="3" t="str">
        <f t="shared" si="261"/>
        <v>-</v>
      </c>
      <c r="AX413" s="3">
        <f t="shared" si="262"/>
        <v>10</v>
      </c>
      <c r="AY413" s="3">
        <f t="shared" si="263"/>
        <v>6</v>
      </c>
      <c r="AZ413" s="3">
        <f t="shared" si="264"/>
        <v>1</v>
      </c>
      <c r="BA413" s="3">
        <f>IF(ISERROR(LEN(VLOOKUP(A413,Seqs!A:E,2,FALSE))-AL413),"-",LEN(VLOOKUP(A413,Seqs!A:E,2,FALSE))-AL413)</f>
        <v>10</v>
      </c>
      <c r="BB413" s="16">
        <f t="shared" si="265"/>
        <v>31</v>
      </c>
      <c r="BC413" s="9">
        <f t="shared" si="266"/>
        <v>20</v>
      </c>
      <c r="BD413" s="3">
        <f t="shared" si="267"/>
        <v>31</v>
      </c>
      <c r="BE413" s="3">
        <f t="shared" si="268"/>
        <v>53</v>
      </c>
      <c r="BF413" s="3">
        <f t="shared" si="253"/>
        <v>36</v>
      </c>
    </row>
    <row r="414" spans="1:58" s="3" customFormat="1" x14ac:dyDescent="0.2">
      <c r="A414" s="3" t="s">
        <v>472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8"/>
        <v>36</v>
      </c>
      <c r="F414" s="3">
        <f t="shared" si="249"/>
        <v>37</v>
      </c>
      <c r="G414" s="3">
        <v>39</v>
      </c>
      <c r="H414" s="3">
        <f t="shared" si="250"/>
        <v>40</v>
      </c>
      <c r="I414" s="3">
        <f t="shared" si="250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1"/>
        <v>116</v>
      </c>
      <c r="S414" s="3">
        <v>116</v>
      </c>
      <c r="T414" s="100">
        <f t="shared" si="252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9"/>
        <v>1</v>
      </c>
      <c r="AO414" s="3" t="str">
        <f>IF(ISERROR(MATCH(A414,'SegEnds_Xtal_Prot#'!B:B, 0)), "NoXtal", "Xtal")</f>
        <v>NoXtal</v>
      </c>
      <c r="AP414" s="3">
        <f t="shared" si="254"/>
        <v>1</v>
      </c>
      <c r="AQ414" s="3">
        <f t="shared" si="255"/>
        <v>1</v>
      </c>
      <c r="AR414" s="3" t="str">
        <f t="shared" si="256"/>
        <v>-</v>
      </c>
      <c r="AS414" s="3" t="str">
        <f t="shared" si="257"/>
        <v>-</v>
      </c>
      <c r="AT414" s="3">
        <f t="shared" si="258"/>
        <v>3</v>
      </c>
      <c r="AU414" s="3">
        <f t="shared" si="259"/>
        <v>1</v>
      </c>
      <c r="AV414" s="3" t="str">
        <f t="shared" si="260"/>
        <v>-</v>
      </c>
      <c r="AW414" s="3" t="str">
        <f t="shared" si="261"/>
        <v>-</v>
      </c>
      <c r="AX414" s="3">
        <f t="shared" si="262"/>
        <v>10</v>
      </c>
      <c r="AY414" s="3">
        <f t="shared" si="263"/>
        <v>6</v>
      </c>
      <c r="AZ414" s="3">
        <f t="shared" si="264"/>
        <v>1</v>
      </c>
      <c r="BA414" s="3">
        <f>IF(ISERROR(LEN(VLOOKUP(A414,Seqs!A:E,2,FALSE))-AL414),"-",LEN(VLOOKUP(A414,Seqs!A:E,2,FALSE))-AL414)</f>
        <v>16</v>
      </c>
      <c r="BB414" s="16">
        <f t="shared" si="265"/>
        <v>31</v>
      </c>
      <c r="BC414" s="9">
        <f t="shared" si="266"/>
        <v>20</v>
      </c>
      <c r="BD414" s="3">
        <f t="shared" si="267"/>
        <v>31</v>
      </c>
      <c r="BE414" s="3">
        <f t="shared" si="268"/>
        <v>53</v>
      </c>
      <c r="BF414" s="3">
        <f t="shared" si="253"/>
        <v>36</v>
      </c>
    </row>
    <row r="415" spans="1:58" s="3" customFormat="1" x14ac:dyDescent="0.2">
      <c r="A415" s="3" t="s">
        <v>473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8"/>
        <v>36</v>
      </c>
      <c r="F415" s="3">
        <f t="shared" si="249"/>
        <v>37</v>
      </c>
      <c r="G415" s="3">
        <v>39</v>
      </c>
      <c r="H415" s="3">
        <f t="shared" si="250"/>
        <v>40</v>
      </c>
      <c r="I415" s="3">
        <f t="shared" si="250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1"/>
        <v>116</v>
      </c>
      <c r="S415" s="3">
        <v>116</v>
      </c>
      <c r="T415" s="100">
        <f t="shared" si="252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9"/>
        <v>1</v>
      </c>
      <c r="AO415" s="3" t="str">
        <f>IF(ISERROR(MATCH(A415,'SegEnds_Xtal_Prot#'!B:B, 0)), "NoXtal", "Xtal")</f>
        <v>NoXtal</v>
      </c>
      <c r="AP415" s="3">
        <f t="shared" si="254"/>
        <v>1</v>
      </c>
      <c r="AQ415" s="3">
        <f t="shared" si="255"/>
        <v>1</v>
      </c>
      <c r="AR415" s="3" t="str">
        <f t="shared" si="256"/>
        <v>-</v>
      </c>
      <c r="AS415" s="3" t="str">
        <f t="shared" si="257"/>
        <v>-</v>
      </c>
      <c r="AT415" s="3">
        <f t="shared" si="258"/>
        <v>3</v>
      </c>
      <c r="AU415" s="3">
        <f t="shared" si="259"/>
        <v>1</v>
      </c>
      <c r="AV415" s="3" t="str">
        <f t="shared" si="260"/>
        <v>-</v>
      </c>
      <c r="AW415" s="3" t="str">
        <f t="shared" si="261"/>
        <v>-</v>
      </c>
      <c r="AX415" s="3">
        <f t="shared" si="262"/>
        <v>10</v>
      </c>
      <c r="AY415" s="3">
        <f t="shared" si="263"/>
        <v>6</v>
      </c>
      <c r="AZ415" s="3">
        <f t="shared" si="264"/>
        <v>1</v>
      </c>
      <c r="BA415" s="3">
        <f>IF(ISERROR(LEN(VLOOKUP(A415,Seqs!A:E,2,FALSE))-AL415),"-",LEN(VLOOKUP(A415,Seqs!A:E,2,FALSE))-AL415)</f>
        <v>7</v>
      </c>
      <c r="BB415" s="16">
        <f t="shared" si="265"/>
        <v>31</v>
      </c>
      <c r="BC415" s="9">
        <f t="shared" si="266"/>
        <v>20</v>
      </c>
      <c r="BD415" s="3">
        <f t="shared" si="267"/>
        <v>31</v>
      </c>
      <c r="BE415" s="3">
        <f t="shared" si="268"/>
        <v>53</v>
      </c>
      <c r="BF415" s="3">
        <f t="shared" si="253"/>
        <v>36</v>
      </c>
    </row>
    <row r="416" spans="1:58" s="3" customFormat="1" x14ac:dyDescent="0.2">
      <c r="A416" s="3" t="s">
        <v>474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8"/>
        <v>36</v>
      </c>
      <c r="F416" s="3">
        <f t="shared" si="249"/>
        <v>37</v>
      </c>
      <c r="G416" s="3">
        <v>39</v>
      </c>
      <c r="H416" s="3">
        <f t="shared" si="250"/>
        <v>40</v>
      </c>
      <c r="I416" s="3">
        <f t="shared" si="250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1"/>
        <v>116</v>
      </c>
      <c r="S416" s="3">
        <v>116</v>
      </c>
      <c r="T416" s="100">
        <f t="shared" si="252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9"/>
        <v>1</v>
      </c>
      <c r="AO416" s="3" t="str">
        <f>IF(ISERROR(MATCH(A416,'SegEnds_Xtal_Prot#'!B:B, 0)), "NoXtal", "Xtal")</f>
        <v>NoXtal</v>
      </c>
      <c r="AP416" s="3">
        <f t="shared" si="254"/>
        <v>1</v>
      </c>
      <c r="AQ416" s="3">
        <f t="shared" si="255"/>
        <v>1</v>
      </c>
      <c r="AR416" s="3" t="str">
        <f t="shared" si="256"/>
        <v>-</v>
      </c>
      <c r="AS416" s="3" t="str">
        <f t="shared" si="257"/>
        <v>-</v>
      </c>
      <c r="AT416" s="3">
        <f t="shared" si="258"/>
        <v>3</v>
      </c>
      <c r="AU416" s="3">
        <f t="shared" si="259"/>
        <v>1</v>
      </c>
      <c r="AV416" s="3" t="str">
        <f t="shared" si="260"/>
        <v>-</v>
      </c>
      <c r="AW416" s="3" t="str">
        <f t="shared" si="261"/>
        <v>-</v>
      </c>
      <c r="AX416" s="3">
        <f t="shared" si="262"/>
        <v>10</v>
      </c>
      <c r="AY416" s="3">
        <f t="shared" si="263"/>
        <v>6</v>
      </c>
      <c r="AZ416" s="3">
        <f t="shared" si="264"/>
        <v>1</v>
      </c>
      <c r="BA416" s="3">
        <f>IF(ISERROR(LEN(VLOOKUP(A416,Seqs!A:E,2,FALSE))-AL416),"-",LEN(VLOOKUP(A416,Seqs!A:E,2,FALSE))-AL416)</f>
        <v>13</v>
      </c>
      <c r="BB416" s="16">
        <f t="shared" si="265"/>
        <v>31</v>
      </c>
      <c r="BC416" s="9">
        <f t="shared" si="266"/>
        <v>20</v>
      </c>
      <c r="BD416" s="3">
        <f t="shared" si="267"/>
        <v>31</v>
      </c>
      <c r="BE416" s="3">
        <f t="shared" si="268"/>
        <v>53</v>
      </c>
      <c r="BF416" s="3">
        <f t="shared" si="253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autoFilter ref="A1:BG416" xr:uid="{018C2510-A9D7-0849-A6C7-D85DE3AA35D5}"/>
  <sortState xmlns:xlrd2="http://schemas.microsoft.com/office/spreadsheetml/2017/richdata2"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6">
    <cfRule type="expression" dxfId="22" priority="25">
      <formula>NOT(OR(C2&lt;E2,C2="-",E2="-"))</formula>
    </cfRule>
  </conditionalFormatting>
  <conditionalFormatting sqref="K2:L2 K3 K4:L416">
    <cfRule type="expression" dxfId="21" priority="29">
      <formula>NOT(OR(G2&lt;K2,G2="-",K2="-"))</formula>
    </cfRule>
  </conditionalFormatting>
  <conditionalFormatting sqref="N2:O2 N4:N18 O3:O18 N19:O416">
    <cfRule type="expression" dxfId="20" priority="31">
      <formula>NOT(OR(I2&lt;N2,I2="-",N2="-"))</formula>
    </cfRule>
  </conditionalFormatting>
  <conditionalFormatting sqref="Q2:R416">
    <cfRule type="expression" dxfId="19" priority="33">
      <formula>NOT(OR(K2&lt;Q2,K2="-",Q2="-"))</formula>
    </cfRule>
  </conditionalFormatting>
  <conditionalFormatting sqref="T2:U416">
    <cfRule type="expression" dxfId="18" priority="35">
      <formula>NOT(OR(M2&lt;T2,M2="-",T2="-"))</formula>
    </cfRule>
  </conditionalFormatting>
  <conditionalFormatting sqref="W2:X416">
    <cfRule type="expression" dxfId="17" priority="37">
      <formula>NOT(OR(O2&lt;W2,O2="-",W2="-"))</formula>
    </cfRule>
  </conditionalFormatting>
  <conditionalFormatting sqref="Z2:AA416">
    <cfRule type="expression" dxfId="16" priority="39">
      <formula>NOT(OR(Q2&lt;Z2,Q2="-",Z2="-"))</formula>
    </cfRule>
  </conditionalFormatting>
  <conditionalFormatting sqref="AC2:AD416">
    <cfRule type="expression" dxfId="15" priority="41">
      <formula>NOT(OR(S2&lt;AC2,S2="-",AC2="-"))</formula>
    </cfRule>
  </conditionalFormatting>
  <conditionalFormatting sqref="AF2:AG416">
    <cfRule type="expression" dxfId="14" priority="43">
      <formula>NOT(OR(U2&lt;AF2,U2="-",AF2="-"))</formula>
    </cfRule>
  </conditionalFormatting>
  <conditionalFormatting sqref="AI2:AJ416">
    <cfRule type="expression" dxfId="13" priority="45">
      <formula>NOT(OR(W2&lt;AI2,W2="-",AI2="-"))</formula>
    </cfRule>
  </conditionalFormatting>
  <conditionalFormatting sqref="AL2:AL416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H419"/>
  <sheetViews>
    <sheetView zoomScale="120" zoomScaleNormal="120" zoomScalePageLayoutView="120" workbookViewId="0">
      <pane ySplit="1" topLeftCell="A96" activePane="bottomLeft" state="frozenSplit"/>
      <selection pane="bottomLeft" activeCell="A125" sqref="A12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1197</v>
      </c>
      <c r="C1" s="30" t="s">
        <v>99</v>
      </c>
      <c r="D1" s="30" t="s">
        <v>1220</v>
      </c>
      <c r="E1" s="30" t="s">
        <v>1463</v>
      </c>
      <c r="F1" s="55" t="s">
        <v>13</v>
      </c>
      <c r="G1" s="20" t="s">
        <v>5</v>
      </c>
      <c r="H1" s="4" t="s">
        <v>1357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1313</v>
      </c>
      <c r="P1" s="53" t="s">
        <v>1317</v>
      </c>
      <c r="Q1" s="53" t="s">
        <v>1360</v>
      </c>
      <c r="R1" s="20" t="s">
        <v>9</v>
      </c>
      <c r="S1" s="20" t="s">
        <v>1316</v>
      </c>
      <c r="T1" s="20" t="s">
        <v>12</v>
      </c>
      <c r="U1" s="20" t="s">
        <v>1318</v>
      </c>
      <c r="V1" s="26" t="s">
        <v>1303</v>
      </c>
      <c r="W1" s="30" t="s">
        <v>1304</v>
      </c>
      <c r="X1" s="30" t="s">
        <v>1305</v>
      </c>
      <c r="Y1" s="30" t="s">
        <v>1306</v>
      </c>
      <c r="Z1" s="30" t="s">
        <v>1307</v>
      </c>
      <c r="AA1" s="103" t="s">
        <v>1377</v>
      </c>
      <c r="AB1" s="26" t="s">
        <v>1308</v>
      </c>
      <c r="AC1" s="26" t="s">
        <v>1309</v>
      </c>
      <c r="AD1" s="26" t="s">
        <v>1310</v>
      </c>
      <c r="AE1" s="26" t="s">
        <v>1311</v>
      </c>
      <c r="AF1" s="30" t="s">
        <v>1312</v>
      </c>
      <c r="AG1" s="26" t="s">
        <v>1314</v>
      </c>
      <c r="AH1" s="30" t="s">
        <v>1315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1463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1313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1313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1313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1313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903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905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1165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262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263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265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272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365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1676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254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273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316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1166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1316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197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1316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218</v>
      </c>
      <c r="B131" s="2" t="str">
        <f>LOWER(VLOOKUP(A131,Xtal_Templ!A:B,2,FALSE))</f>
        <v>fpr2_human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225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244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277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248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285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286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1434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1445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208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215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223</v>
      </c>
      <c r="B143" s="2" t="str">
        <f>LOWER(VLOOKUP(A143,Xtal_Templ!A:B,2,FALSE))</f>
        <v>fpr2_human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255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309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318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907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329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361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334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267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299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320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909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359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383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199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1316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250</v>
      </c>
      <c r="B161" s="2" t="str">
        <f>LOWER(VLOOKUP(A161,Xtal_Templ!A:B,2,FALSE))</f>
        <v>fpr2_human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307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341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204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205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206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209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336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911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380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381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384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396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216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217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281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298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319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1167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382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393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395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397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398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331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332</v>
      </c>
      <c r="B187" s="2" t="s">
        <v>913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333</v>
      </c>
      <c r="B188" s="2" t="s">
        <v>913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913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284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337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338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339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340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915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1357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214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221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231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266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269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314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322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325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1168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343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207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222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224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241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243</v>
      </c>
      <c r="B212" s="2" t="str">
        <f>LOWER(VLOOKUP(A212,Xtal_Templ!A:B,2,FALSE))</f>
        <v>gpr52_human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246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259</v>
      </c>
      <c r="B214" s="2" t="str">
        <f>LOWER(VLOOKUP(A214,Xtal_Templ!A:B,2,FALSE))</f>
        <v>gpr52_human</v>
      </c>
      <c r="C214" s="2" t="str">
        <f>VLOOKUP(A214,Classification!A:D,2,FALSE)</f>
        <v>A</v>
      </c>
      <c r="D214" s="2" t="str">
        <f>IF(ISERROR(MATCH(A214,'SegEnds_Xtal_Prot#'!B:B, 0)), "NoXtal", "Xtal")</f>
        <v>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268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311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312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313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315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321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323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324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326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327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328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1169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358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366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367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368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371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1316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1316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213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230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239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240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249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256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274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275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276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287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288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289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293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294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300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302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304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342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344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1316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345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1316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346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1316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347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1316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349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1316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350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1316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369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385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1591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228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233</v>
      </c>
      <c r="B262" s="2" t="str">
        <f>LOWER(VLOOKUP(A262,Xtal_Templ!A:B,2,FALSE))</f>
        <v>oprk_human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252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271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306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351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1316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352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1316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353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1316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363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364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370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1316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1316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242</v>
      </c>
      <c r="B273" s="2" t="str">
        <f>LOWER(VLOOKUP(A273,Xtal_Templ!A:B,2,FALSE))</f>
        <v>par2_human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253</v>
      </c>
      <c r="B274" s="2" t="str">
        <f>LOWER(VLOOKUP(A274,Xtal_Templ!A:B,2,FALSE))</f>
        <v>fpr2_human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257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1316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260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301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348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1316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354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1316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355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1316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356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1316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357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1316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212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237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261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295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296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308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362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376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377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378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379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467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1316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220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917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1501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1631</v>
      </c>
      <c r="B300" s="2" t="str">
        <f>LOWER(VLOOKUP(A300,Xtal_Templ!A:B,2,FALSE))</f>
        <v>aa2ar_human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1634</v>
      </c>
      <c r="B301" s="2" t="str">
        <f>LOWER(VLOOKUP(A301,Xtal_Templ!A:B,2,FALSE))</f>
        <v>ccr2_human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1316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1636</v>
      </c>
      <c r="B302" s="2" t="str">
        <f>LOWER(VLOOKUP(A302,Xtal_Templ!A:B,2,FALSE))</f>
        <v>c5ar1_human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400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1317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401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1317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1317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402</v>
      </c>
      <c r="B306" s="2" t="str">
        <f>LOWER(VLOOKUP(A306,Xtal_Templ!A:B,2,FALSE))</f>
        <v>crfr2_human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106" t="s">
        <v>25</v>
      </c>
      <c r="P306" s="2" t="s">
        <v>1317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403</v>
      </c>
      <c r="B307" s="2" t="str">
        <f>LOWER(VLOOKUP(A307,Xtal_Templ!A:B,2,FALSE))</f>
        <v>pacr_human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1317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404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1317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405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1317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406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1317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1317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407</v>
      </c>
      <c r="B312" s="2" t="str">
        <f>LOWER(VLOOKUP(A312,Xtal_Templ!A:B,2,FALSE))</f>
        <v>pacr_human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1317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408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1317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409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1317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410</v>
      </c>
      <c r="B315" s="2" t="str">
        <f>LOWER(VLOOKUP(A315,Xtal_Templ!A:B,2,FALSE))</f>
        <v>pacr_human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1317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411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1317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412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1317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1414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1317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1170</v>
      </c>
      <c r="B319" s="2" t="str">
        <f>LOWER(VLOOKUP(A319,Xtal_Templ!A:B,2,FALSE))</f>
        <v>pacr_human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1171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1172</v>
      </c>
      <c r="B321" s="2" t="str">
        <f>LOWER(VLOOKUP(A321,Xtal_Templ!A:B,2,FALSE))</f>
        <v>crfr2_human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1173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1174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1175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1176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1177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1178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1179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1180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1181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1182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1183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1184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1185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1186</v>
      </c>
      <c r="B335" s="2" t="str">
        <f>LOWER(VLOOKUP(A335,Xtal_Templ!A:B,2,FALSE))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1187</v>
      </c>
      <c r="B336" s="2" t="str">
        <f>LOWER(VLOOKUP(A336,Xtal_Templ!A:B,2,FALSE))</f>
        <v>pacr_human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1188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1189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1190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1191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1192</v>
      </c>
      <c r="B341" s="2" t="str">
        <f>LOWER(VLOOKUP(A341,Xtal_Templ!A:B,2,FALSE))</f>
        <v>crfr2_human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1193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1194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1195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1673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413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414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1407</v>
      </c>
      <c r="B348" s="2" t="str">
        <f>LOWER(VLOOKUP(A348,Xtal_Templ!A:B,2,FALSE))</f>
        <v>crfr2_human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1674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1675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415</v>
      </c>
      <c r="B351" s="2" t="str">
        <f>LOWER(VLOOKUP(A351,Xtal_Templ!A:B,2,FALSE))</f>
        <v>crfr2_human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grm5_human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1318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1318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1318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1318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1318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1318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1318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1318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1318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1318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1318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1318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1318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1318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1318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1318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1318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1318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1318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1318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1318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1318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1317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1317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1317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1317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1317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1317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446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1317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447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1317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448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1317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449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1317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1317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1588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1317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1489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1317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479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475</v>
      </c>
      <c r="B388" s="2" t="str">
        <f>LOWER(VLOOKUP(A388,Xtal_Templ!A:B,2,FALSE))</f>
        <v>fpr2_human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478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480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476</v>
      </c>
      <c r="B391" s="2" t="str">
        <f>LOWER(VLOOKUP(A391,Xtal_Templ!A:B,2,FALSE))</f>
        <v>ste2_yeast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466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451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470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459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454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455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456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457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458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462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463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923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464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465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469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472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473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474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460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468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453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452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450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471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xmlns:xlrd2="http://schemas.microsoft.com/office/spreadsheetml/2017/richdata2"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6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418"/>
  <sheetViews>
    <sheetView workbookViewId="0">
      <pane ySplit="1" topLeftCell="A318" activePane="bottomLeft" state="frozenSplit"/>
      <selection pane="bottomLeft" activeCell="A353" sqref="A353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1150</v>
      </c>
      <c r="C1" s="21" t="s">
        <v>1220</v>
      </c>
      <c r="D1" s="21" t="s">
        <v>1198</v>
      </c>
      <c r="E1" s="21" t="s">
        <v>925</v>
      </c>
    </row>
    <row r="2" spans="1:5" x14ac:dyDescent="0.2">
      <c r="A2" t="s">
        <v>462</v>
      </c>
      <c r="B2" t="s">
        <v>557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463</v>
      </c>
      <c r="B3" t="s">
        <v>588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923</v>
      </c>
      <c r="B4" t="s">
        <v>605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461</v>
      </c>
      <c r="B5" t="s">
        <v>638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468</v>
      </c>
      <c r="B6" t="s">
        <v>691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469</v>
      </c>
      <c r="B7" t="s">
        <v>692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470</v>
      </c>
      <c r="B8" t="s">
        <v>693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471</v>
      </c>
      <c r="B9" t="s">
        <v>694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472</v>
      </c>
      <c r="B10" t="s">
        <v>695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473</v>
      </c>
      <c r="B11" t="s">
        <v>696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474</v>
      </c>
      <c r="B12" t="s">
        <v>697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450</v>
      </c>
      <c r="B13" t="s">
        <v>698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451</v>
      </c>
      <c r="B14" t="s">
        <v>699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452</v>
      </c>
      <c r="B15" t="s">
        <v>700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453</v>
      </c>
      <c r="B16" t="s">
        <v>701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454</v>
      </c>
      <c r="B17" t="s">
        <v>702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455</v>
      </c>
      <c r="B18" t="s">
        <v>703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456</v>
      </c>
      <c r="B19" t="s">
        <v>704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457</v>
      </c>
      <c r="B20" t="s">
        <v>705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458</v>
      </c>
      <c r="B21" t="s">
        <v>706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459</v>
      </c>
      <c r="B22" t="s">
        <v>707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460</v>
      </c>
      <c r="B23" t="s">
        <v>708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464</v>
      </c>
      <c r="B24" t="s">
        <v>709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465</v>
      </c>
      <c r="B25" t="s">
        <v>710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466</v>
      </c>
      <c r="B26" t="s">
        <v>711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476</v>
      </c>
      <c r="B27" t="s">
        <v>871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475</v>
      </c>
      <c r="B28" t="s">
        <v>872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477</v>
      </c>
      <c r="B29" t="s">
        <v>873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478</v>
      </c>
      <c r="B30" t="s">
        <v>874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479</v>
      </c>
      <c r="B31" t="s">
        <v>875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480</v>
      </c>
      <c r="B32" t="s">
        <v>876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870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440</v>
      </c>
      <c r="B34" t="s">
        <v>860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442</v>
      </c>
      <c r="B35" t="s">
        <v>861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443</v>
      </c>
      <c r="B36" t="s">
        <v>862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444</v>
      </c>
      <c r="B37" t="s">
        <v>863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445</v>
      </c>
      <c r="B38" t="s">
        <v>864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446</v>
      </c>
      <c r="B39" t="s">
        <v>865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447</v>
      </c>
      <c r="B40" t="s">
        <v>866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448</v>
      </c>
      <c r="B41" t="s">
        <v>867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449</v>
      </c>
      <c r="B42" t="s">
        <v>868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441</v>
      </c>
      <c r="B43" t="s">
        <v>869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1489</v>
      </c>
      <c r="B44" s="120" t="s">
        <v>1490</v>
      </c>
      <c r="C44" t="s">
        <v>1487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843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847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838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839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840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841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844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845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848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849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850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851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852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853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854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855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856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857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858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859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1170</v>
      </c>
      <c r="B67" t="s">
        <v>805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1171</v>
      </c>
      <c r="B68" t="s">
        <v>806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1172</v>
      </c>
      <c r="B69" t="s">
        <v>807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1673</v>
      </c>
      <c r="B70" t="s">
        <v>808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1173</v>
      </c>
      <c r="B71" t="s">
        <v>809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1174</v>
      </c>
      <c r="B72" t="s">
        <v>810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413</v>
      </c>
      <c r="B73" t="s">
        <v>811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414</v>
      </c>
      <c r="B74" t="s">
        <v>812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415</v>
      </c>
      <c r="B75" t="s">
        <v>813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1175</v>
      </c>
      <c r="B76" t="s">
        <v>814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1176</v>
      </c>
      <c r="B77" t="s">
        <v>815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1177</v>
      </c>
      <c r="B78" t="s">
        <v>816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1178</v>
      </c>
      <c r="B79" t="s">
        <v>817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1179</v>
      </c>
      <c r="B80" t="s">
        <v>818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1180</v>
      </c>
      <c r="B81" t="s">
        <v>819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1675</v>
      </c>
      <c r="B82" t="s">
        <v>820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1181</v>
      </c>
      <c r="B83" t="s">
        <v>821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1182</v>
      </c>
      <c r="B84" t="s">
        <v>822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1183</v>
      </c>
      <c r="B85" t="s">
        <v>823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1184</v>
      </c>
      <c r="B86" t="s">
        <v>824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1185</v>
      </c>
      <c r="B87" t="s">
        <v>825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1186</v>
      </c>
      <c r="B88" t="s">
        <v>826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1187</v>
      </c>
      <c r="B89" t="s">
        <v>827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1188</v>
      </c>
      <c r="B90" t="s">
        <v>828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1189</v>
      </c>
      <c r="B91" t="s">
        <v>829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1190</v>
      </c>
      <c r="B92" t="s">
        <v>830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1407</v>
      </c>
      <c r="B93" t="s">
        <v>831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1191</v>
      </c>
      <c r="B94" t="s">
        <v>832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1192</v>
      </c>
      <c r="B95" t="s">
        <v>833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1193</v>
      </c>
      <c r="B96" t="s">
        <v>834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1194</v>
      </c>
      <c r="B97" t="s">
        <v>835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1195</v>
      </c>
      <c r="B98" t="s">
        <v>836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1674</v>
      </c>
      <c r="B99" t="s">
        <v>837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1320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799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1396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793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794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795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796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797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798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800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801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802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1584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803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804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1414</v>
      </c>
      <c r="B115" t="s">
        <v>1413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905</v>
      </c>
      <c r="B116" t="s">
        <v>906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909</v>
      </c>
      <c r="B117" t="s">
        <v>910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911</v>
      </c>
      <c r="B118" t="s">
        <v>912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903</v>
      </c>
      <c r="B119" t="s">
        <v>904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907</v>
      </c>
      <c r="B120" t="s">
        <v>908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915</v>
      </c>
      <c r="B121" t="s">
        <v>916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913</v>
      </c>
      <c r="B122" t="s">
        <v>914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1434</v>
      </c>
      <c r="B123" t="s">
        <v>1435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1501</v>
      </c>
      <c r="B124" t="s">
        <v>1502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1445</v>
      </c>
      <c r="B125" t="s">
        <v>1447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917</v>
      </c>
      <c r="B126" t="s">
        <v>918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482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487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493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494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497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506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509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512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517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565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566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1167</v>
      </c>
      <c r="B138" t="s">
        <v>568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1168</v>
      </c>
      <c r="B139" t="s">
        <v>569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1169</v>
      </c>
      <c r="B140" t="s">
        <v>570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573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601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1165</v>
      </c>
      <c r="B143" t="s">
        <v>611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1166</v>
      </c>
      <c r="B144" t="s">
        <v>627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637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643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666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669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674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684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481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483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484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485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486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488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489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490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491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492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495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496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498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499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500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501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502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503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504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505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507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508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510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511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513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514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515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516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518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519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520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521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522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523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524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525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526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527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528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529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530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531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532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533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534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535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536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537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538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539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540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541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542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543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544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545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546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547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548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549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550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551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552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553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554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555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556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558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559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560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561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562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563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564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567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571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572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574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575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576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577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578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579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580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581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582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583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584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585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586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587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589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590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591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592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593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594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595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596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597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598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599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600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602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603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604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606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607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608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609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610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612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613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614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615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616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617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618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619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620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621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622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623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624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625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626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628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629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630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631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632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633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634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635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636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639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640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641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642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644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645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646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647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648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649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650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651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652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653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654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655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656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657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658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659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660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661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467</v>
      </c>
      <c r="B308" t="s">
        <v>662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663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664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665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667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668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670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671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672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673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675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676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677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678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679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680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681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682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683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685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686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687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688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689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690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712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713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714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715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716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717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718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719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720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721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722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723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724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725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726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727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728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729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730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731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1676</v>
      </c>
      <c r="B353" t="s">
        <v>732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733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734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735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736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737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738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739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740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741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742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743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744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745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746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747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748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749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750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751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752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753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754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755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756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757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758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759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760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761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762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763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764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765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766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767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768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769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770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771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772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773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774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775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776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777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778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779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780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781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782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783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784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785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786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787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788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789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790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791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792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1588</v>
      </c>
      <c r="B414" t="s">
        <v>1590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1591</v>
      </c>
      <c r="B415" t="s">
        <v>1593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1631</v>
      </c>
      <c r="B416" t="s">
        <v>1632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1634</v>
      </c>
      <c r="B417" t="s">
        <v>1635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1636</v>
      </c>
      <c r="B418" t="s">
        <v>1637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xmlns:xlrd2="http://schemas.microsoft.com/office/spreadsheetml/2017/richdata2"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406"/>
  <sheetViews>
    <sheetView zoomScale="135" zoomScaleNormal="135" zoomScalePageLayoutView="135" workbookViewId="0">
      <pane ySplit="1" topLeftCell="A105" activePane="bottomLeft" state="frozenSplit"/>
      <selection pane="bottomLeft" activeCell="A130" sqref="A130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1219</v>
      </c>
      <c r="C1" s="31" t="s">
        <v>1220</v>
      </c>
      <c r="D1" s="30" t="s">
        <v>99</v>
      </c>
      <c r="E1" s="26" t="s">
        <v>1218</v>
      </c>
      <c r="F1" s="26" t="s">
        <v>3</v>
      </c>
      <c r="G1" s="30" t="s">
        <v>1202</v>
      </c>
      <c r="H1" s="30" t="s">
        <v>4</v>
      </c>
      <c r="I1" s="30" t="s">
        <v>1204</v>
      </c>
      <c r="J1" s="30" t="s">
        <v>6</v>
      </c>
      <c r="K1" s="30" t="s">
        <v>1203</v>
      </c>
      <c r="L1" s="30" t="s">
        <v>7</v>
      </c>
      <c r="M1" s="30" t="s">
        <v>1205</v>
      </c>
      <c r="N1" s="30" t="s">
        <v>8</v>
      </c>
      <c r="O1" s="30" t="s">
        <v>10</v>
      </c>
      <c r="P1" s="30" t="s">
        <v>11</v>
      </c>
      <c r="Q1" s="30" t="s">
        <v>1201</v>
      </c>
      <c r="R1" s="26" t="s">
        <v>1054</v>
      </c>
      <c r="S1" s="8" t="s">
        <v>1071</v>
      </c>
      <c r="T1" s="8" t="s">
        <v>1056</v>
      </c>
      <c r="U1" s="8" t="s">
        <v>1073</v>
      </c>
      <c r="V1" s="8" t="s">
        <v>1058</v>
      </c>
      <c r="W1" s="8" t="s">
        <v>1086</v>
      </c>
      <c r="X1" s="8" t="s">
        <v>1060</v>
      </c>
      <c r="Y1" s="8" t="s">
        <v>1089</v>
      </c>
      <c r="Z1" s="8" t="s">
        <v>1062</v>
      </c>
      <c r="AA1" s="8" t="s">
        <v>1064</v>
      </c>
      <c r="AB1" s="8" t="s">
        <v>1066</v>
      </c>
      <c r="AC1" s="8" t="s">
        <v>1068</v>
      </c>
      <c r="AD1" s="26" t="s">
        <v>1055</v>
      </c>
      <c r="AE1" s="8" t="s">
        <v>1072</v>
      </c>
      <c r="AF1" s="8" t="s">
        <v>1057</v>
      </c>
      <c r="AG1" s="8" t="s">
        <v>1074</v>
      </c>
      <c r="AH1" s="8" t="s">
        <v>1059</v>
      </c>
      <c r="AI1" s="8" t="s">
        <v>1087</v>
      </c>
      <c r="AJ1" s="8" t="s">
        <v>1061</v>
      </c>
      <c r="AK1" s="8" t="s">
        <v>1090</v>
      </c>
      <c r="AL1" s="8" t="s">
        <v>1063</v>
      </c>
      <c r="AM1" s="8" t="s">
        <v>1065</v>
      </c>
      <c r="AN1" s="8" t="s">
        <v>1067</v>
      </c>
      <c r="AO1" s="8" t="s">
        <v>1069</v>
      </c>
      <c r="AP1" s="26" t="s">
        <v>1206</v>
      </c>
      <c r="AQ1" s="30" t="s">
        <v>1207</v>
      </c>
      <c r="AR1" s="30" t="s">
        <v>1208</v>
      </c>
      <c r="AS1" s="30" t="s">
        <v>1209</v>
      </c>
      <c r="AT1" s="30" t="s">
        <v>1210</v>
      </c>
      <c r="AU1" s="30" t="s">
        <v>1211</v>
      </c>
      <c r="AV1" s="30" t="s">
        <v>1212</v>
      </c>
      <c r="AW1" s="30" t="s">
        <v>1213</v>
      </c>
      <c r="AX1" s="30" t="s">
        <v>1214</v>
      </c>
      <c r="AY1" s="30" t="s">
        <v>1215</v>
      </c>
      <c r="AZ1" s="30" t="s">
        <v>1216</v>
      </c>
      <c r="BA1" s="30" t="s">
        <v>1217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">
        <v>1676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'SegEnds_NonXtal_Prot#'!A107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'SegEnds_NonXtal_Prot#'!A108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'SegEnds_NonXtal_Prot#'!A140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QDLQLGLSLLSLLGLVVGVPVGLCYNALLVLANLHSKYFVNMAVAGLVLSALAPVHLLGPPSSRGGEVHVALQIPFNVSSLVAMYSTALLSLDHYIERALSVYNTRHVCGFVWGGALLTSFSSLLFYSTRALECAKMQNAEAADATLVFIGYVVPALATLYALVLLSRVRREDRDTGRLEPSAHRLLVATVCTQFGLWTPHYLILLGHTVIISRDAHYLGLLHFVKDFSKLLAFSSSFVTPLLYRYMNQSFPSKLQRLM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QDLQLGLSLLSLLGLVVGVPVGLCYNALLVLANLHSK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STRALECAKMQNAEAADATLVFIGYVVPALATLYALVLLSRVRRED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172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56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311</v>
      </c>
      <c r="AP278" s="5">
        <f t="shared" si="113"/>
        <v>36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45</v>
      </c>
      <c r="AY278" s="4">
        <f t="shared" si="122"/>
        <v>40</v>
      </c>
      <c r="AZ278" s="4">
        <f t="shared" si="123"/>
        <v>32</v>
      </c>
      <c r="BA278" s="4">
        <f t="shared" si="124"/>
        <v>11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'SegEnds_NonXtal_Prot#'!A273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xmlns:xlrd2="http://schemas.microsoft.com/office/spreadsheetml/2017/richdata2"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L435"/>
  <sheetViews>
    <sheetView workbookViewId="0">
      <selection activeCell="A192" sqref="A19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1151</v>
      </c>
      <c r="B1" s="32" t="s">
        <v>1109</v>
      </c>
      <c r="C1" s="32" t="s">
        <v>1397</v>
      </c>
      <c r="D1" s="33" t="s">
        <v>1221</v>
      </c>
      <c r="E1" s="32" t="s">
        <v>1398</v>
      </c>
      <c r="F1" s="32" t="s">
        <v>1399</v>
      </c>
      <c r="G1" s="85" t="s">
        <v>1362</v>
      </c>
      <c r="H1" s="32" t="s">
        <v>1487</v>
      </c>
    </row>
    <row r="2" spans="1:12" s="10" customFormat="1" x14ac:dyDescent="0.2">
      <c r="A2" s="3" t="s">
        <v>466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451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470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459</v>
      </c>
      <c r="B5" s="1" t="s">
        <v>158</v>
      </c>
      <c r="C5" t="s">
        <v>903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479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454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923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465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461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473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455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457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462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463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464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474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469</v>
      </c>
      <c r="B18" s="1" t="s">
        <v>1165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472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458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456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1180</v>
      </c>
      <c r="B22" s="1" t="s">
        <v>38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1190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1195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1188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1186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1177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1184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1178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1179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1183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1176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1175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1181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1191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1185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1189</v>
      </c>
      <c r="B37" s="1" t="s">
        <v>408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1407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1187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1674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1170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1171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1172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413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414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1194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1193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1174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1192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1173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1673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1182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475</v>
      </c>
      <c r="B53" s="1" t="s">
        <v>201</v>
      </c>
      <c r="C53" t="s">
        <v>1165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478</v>
      </c>
      <c r="B54" s="1" t="s">
        <v>363</v>
      </c>
      <c r="C54" t="s">
        <v>1165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1675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415</v>
      </c>
      <c r="B56" s="1" t="s">
        <v>402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480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460</v>
      </c>
      <c r="B58" s="1" t="s">
        <v>132</v>
      </c>
      <c r="C58" t="s">
        <v>911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468</v>
      </c>
      <c r="B59" s="1" t="s">
        <v>1165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453</v>
      </c>
      <c r="B60" s="1" t="s">
        <v>359</v>
      </c>
      <c r="C60" t="s">
        <v>1169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452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476</v>
      </c>
      <c r="B62" s="1" t="s">
        <v>1672</v>
      </c>
      <c r="C62" t="s">
        <v>351</v>
      </c>
      <c r="D62" s="28" t="str">
        <f>VLOOKUP(A62,Classification!$A:$D,2,FALSE)</f>
        <v>O</v>
      </c>
      <c r="E62" s="49" t="e">
        <f>VLOOKUP(B62,Classification!$A:$D,2,FALSE)</f>
        <v>#N/A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450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471</v>
      </c>
      <c r="B64" s="1" t="s">
        <v>277</v>
      </c>
      <c r="C64" t="s">
        <v>917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1168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467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277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903</v>
      </c>
      <c r="C104" t="s">
        <v>903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903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903</v>
      </c>
      <c r="B106" s="1" t="s">
        <v>903</v>
      </c>
      <c r="C106" t="s">
        <v>903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903</v>
      </c>
      <c r="C107" t="s">
        <v>903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905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34</v>
      </c>
      <c r="C111" t="s">
        <v>905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173</v>
      </c>
      <c r="C112" t="s">
        <v>905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905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905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905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126</v>
      </c>
      <c r="C116" t="s">
        <v>905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905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905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905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905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905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905</v>
      </c>
      <c r="B122" s="1" t="s">
        <v>905</v>
      </c>
      <c r="C122" t="s">
        <v>905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905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905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201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334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370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1165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1165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1165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1165</v>
      </c>
      <c r="B174" s="1" t="s">
        <v>1165</v>
      </c>
      <c r="C174" t="s">
        <v>1165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1165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1165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1165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1165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272</v>
      </c>
      <c r="B183" s="1" t="s">
        <v>1168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263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365</v>
      </c>
      <c r="B185" s="1" t="s">
        <v>363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262</v>
      </c>
      <c r="B186" s="1" t="s">
        <v>1169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265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273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254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1676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316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1166</v>
      </c>
      <c r="B194" s="1" t="s">
        <v>1166</v>
      </c>
      <c r="C194" t="s">
        <v>1166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197</v>
      </c>
      <c r="B195" s="1" t="s">
        <v>355</v>
      </c>
      <c r="C195" t="s">
        <v>1166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403</v>
      </c>
      <c r="B196" s="1" t="s">
        <v>407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410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405</v>
      </c>
      <c r="B198" s="1" t="s">
        <v>405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412</v>
      </c>
      <c r="B199" s="1" t="s">
        <v>407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407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Xtal</v>
      </c>
      <c r="J200" s="3"/>
    </row>
    <row r="201" spans="1:10" x14ac:dyDescent="0.2">
      <c r="A201" s="3" t="s">
        <v>411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404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406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408</v>
      </c>
      <c r="B205" s="1" t="s">
        <v>408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409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277</v>
      </c>
      <c r="B229" s="1" t="s">
        <v>277</v>
      </c>
      <c r="C229" t="s">
        <v>277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218</v>
      </c>
      <c r="B230" s="1" t="s">
        <v>201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225</v>
      </c>
      <c r="B231" s="1" t="s">
        <v>351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244</v>
      </c>
      <c r="B232" s="1" t="s">
        <v>133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248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285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286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361</v>
      </c>
      <c r="B239" s="1" t="s">
        <v>363</v>
      </c>
      <c r="C239" t="s">
        <v>907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208</v>
      </c>
      <c r="B240" s="1" t="s">
        <v>127</v>
      </c>
      <c r="C240" t="s">
        <v>907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329</v>
      </c>
      <c r="B241" s="1" t="s">
        <v>907</v>
      </c>
      <c r="C241" t="s">
        <v>907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907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907</v>
      </c>
      <c r="B243" s="1" t="s">
        <v>907</v>
      </c>
      <c r="C243" t="s">
        <v>907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309</v>
      </c>
      <c r="B244" s="1" t="s">
        <v>907</v>
      </c>
      <c r="C244" t="s">
        <v>907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215</v>
      </c>
      <c r="B245" s="1" t="s">
        <v>133</v>
      </c>
      <c r="C245" t="s">
        <v>907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317</v>
      </c>
      <c r="B246" s="1" t="s">
        <v>907</v>
      </c>
      <c r="C246" t="s">
        <v>907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318</v>
      </c>
      <c r="B247" s="1" t="s">
        <v>907</v>
      </c>
      <c r="C247" t="s">
        <v>907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255</v>
      </c>
      <c r="B248" s="1" t="s">
        <v>907</v>
      </c>
      <c r="C248" t="s">
        <v>907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223</v>
      </c>
      <c r="B249" s="1" t="s">
        <v>201</v>
      </c>
      <c r="C249" t="s">
        <v>907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320</v>
      </c>
      <c r="B250" s="1" t="s">
        <v>334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267</v>
      </c>
      <c r="B251" s="1" t="s">
        <v>334</v>
      </c>
      <c r="C251" t="s">
        <v>909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299</v>
      </c>
      <c r="B252" s="1" t="s">
        <v>334</v>
      </c>
      <c r="C252" t="s">
        <v>909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334</v>
      </c>
      <c r="B253" s="1" t="s">
        <v>334</v>
      </c>
      <c r="C253" s="1" t="s">
        <v>334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909</v>
      </c>
      <c r="B254" s="1" t="s">
        <v>909</v>
      </c>
      <c r="C254" t="s">
        <v>909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383</v>
      </c>
      <c r="B255" s="1" t="s">
        <v>335</v>
      </c>
      <c r="C255" t="s">
        <v>909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359</v>
      </c>
      <c r="B256" s="1" t="s">
        <v>359</v>
      </c>
      <c r="C256" t="s">
        <v>909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199</v>
      </c>
      <c r="B257" s="1" t="s">
        <v>1169</v>
      </c>
      <c r="C257" t="s">
        <v>335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250</v>
      </c>
      <c r="B258" s="1" t="s">
        <v>201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307</v>
      </c>
      <c r="B260" s="1" t="s">
        <v>355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335</v>
      </c>
      <c r="B261" s="1" t="s">
        <v>335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341</v>
      </c>
      <c r="B262" s="1" t="s">
        <v>359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204</v>
      </c>
      <c r="B263" s="1" t="s">
        <v>335</v>
      </c>
      <c r="C263" t="s">
        <v>911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381</v>
      </c>
      <c r="B264" s="1" t="s">
        <v>335</v>
      </c>
      <c r="C264" t="s">
        <v>911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384</v>
      </c>
      <c r="B265" s="1" t="s">
        <v>335</v>
      </c>
      <c r="C265" t="s">
        <v>911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911</v>
      </c>
      <c r="B266" s="1" t="s">
        <v>911</v>
      </c>
      <c r="C266" t="s">
        <v>911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336</v>
      </c>
      <c r="B267" s="1" t="s">
        <v>911</v>
      </c>
      <c r="C267" t="s">
        <v>911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380</v>
      </c>
      <c r="B268" s="1" t="s">
        <v>335</v>
      </c>
      <c r="C268" t="s">
        <v>911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396</v>
      </c>
      <c r="B269" s="1" t="s">
        <v>1169</v>
      </c>
      <c r="C269" t="s">
        <v>911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206</v>
      </c>
      <c r="B270" s="1" t="s">
        <v>335</v>
      </c>
      <c r="C270" t="s">
        <v>911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205</v>
      </c>
      <c r="B271" s="1" t="s">
        <v>335</v>
      </c>
      <c r="C271" t="s">
        <v>911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209</v>
      </c>
      <c r="B272" s="1" t="s">
        <v>160</v>
      </c>
      <c r="C272" t="s">
        <v>911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216</v>
      </c>
      <c r="B273" s="1" t="s">
        <v>175</v>
      </c>
      <c r="C273" t="s">
        <v>1167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319</v>
      </c>
      <c r="B274" s="1" t="s">
        <v>334</v>
      </c>
      <c r="C274" t="s">
        <v>1167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298</v>
      </c>
      <c r="B275" s="1" t="s">
        <v>335</v>
      </c>
      <c r="C275" t="s">
        <v>1167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398</v>
      </c>
      <c r="B276" s="1" t="s">
        <v>311</v>
      </c>
      <c r="C276" t="s">
        <v>1167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217</v>
      </c>
      <c r="B277" s="1" t="s">
        <v>132</v>
      </c>
      <c r="C277" t="s">
        <v>1167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1167</v>
      </c>
      <c r="B278" s="1" t="s">
        <v>1167</v>
      </c>
      <c r="C278" t="s">
        <v>1167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395</v>
      </c>
      <c r="B279" s="1" t="s">
        <v>173</v>
      </c>
      <c r="C279" t="s">
        <v>1167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281</v>
      </c>
      <c r="B280" s="1" t="s">
        <v>335</v>
      </c>
      <c r="C280" t="s">
        <v>1167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393</v>
      </c>
      <c r="B281" s="1" t="s">
        <v>1167</v>
      </c>
      <c r="C281" t="s">
        <v>1167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397</v>
      </c>
      <c r="B282" s="1" t="s">
        <v>127</v>
      </c>
      <c r="C282" t="s">
        <v>1167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382</v>
      </c>
      <c r="B283" s="1" t="s">
        <v>335</v>
      </c>
      <c r="C283" t="s">
        <v>1167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913</v>
      </c>
      <c r="B284" s="1" t="s">
        <v>913</v>
      </c>
      <c r="C284" t="s">
        <v>913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331</v>
      </c>
      <c r="B285" s="1" t="s">
        <v>913</v>
      </c>
      <c r="C285" t="s">
        <v>913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338</v>
      </c>
      <c r="B286" s="1" t="s">
        <v>338</v>
      </c>
      <c r="C286" t="s">
        <v>338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339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340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337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284</v>
      </c>
      <c r="B290" s="1" t="s">
        <v>310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333</v>
      </c>
      <c r="B291" s="1" t="s">
        <v>913</v>
      </c>
      <c r="C291" t="s">
        <v>915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332</v>
      </c>
      <c r="B292" s="1" t="s">
        <v>913</v>
      </c>
      <c r="C292" t="s">
        <v>915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915</v>
      </c>
      <c r="B293" s="1" t="s">
        <v>915</v>
      </c>
      <c r="C293" t="s">
        <v>915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269</v>
      </c>
      <c r="B294" s="1" t="s">
        <v>196</v>
      </c>
      <c r="C294" t="s">
        <v>1168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325</v>
      </c>
      <c r="B295" s="1" t="s">
        <v>1168</v>
      </c>
      <c r="C295" t="s">
        <v>1168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343</v>
      </c>
      <c r="B296" s="1" t="s">
        <v>1168</v>
      </c>
      <c r="C296" t="s">
        <v>1168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1168</v>
      </c>
      <c r="B297" s="1" t="s">
        <v>1168</v>
      </c>
      <c r="C297" t="s">
        <v>1168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266</v>
      </c>
      <c r="B298" s="1" t="s">
        <v>191</v>
      </c>
      <c r="C298" t="s">
        <v>1168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221</v>
      </c>
      <c r="B299" s="1" t="s">
        <v>1165</v>
      </c>
      <c r="C299" t="s">
        <v>1168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322</v>
      </c>
      <c r="B300" s="1" t="s">
        <v>1168</v>
      </c>
      <c r="C300" t="s">
        <v>1168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314</v>
      </c>
      <c r="B301" s="1" t="s">
        <v>313</v>
      </c>
      <c r="C301" t="s">
        <v>1168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214</v>
      </c>
      <c r="B302" s="1" t="s">
        <v>310</v>
      </c>
      <c r="C302" t="s">
        <v>1168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231</v>
      </c>
      <c r="B303" s="1" t="s">
        <v>1168</v>
      </c>
      <c r="C303" t="s">
        <v>1168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327</v>
      </c>
      <c r="B304" s="1" t="s">
        <v>324</v>
      </c>
      <c r="C304" t="s">
        <v>1169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368</v>
      </c>
      <c r="B305" s="1" t="s">
        <v>1169</v>
      </c>
      <c r="C305" t="s">
        <v>1169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358</v>
      </c>
      <c r="B306" s="1" t="s">
        <v>363</v>
      </c>
      <c r="C306" t="s">
        <v>1169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323</v>
      </c>
      <c r="B307" s="1" t="s">
        <v>133</v>
      </c>
      <c r="C307" t="s">
        <v>1169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246</v>
      </c>
      <c r="B308" s="1" t="s">
        <v>191</v>
      </c>
      <c r="C308" t="s">
        <v>1169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259</v>
      </c>
      <c r="B309" s="1" t="s">
        <v>259</v>
      </c>
      <c r="C309" t="s">
        <v>1169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Xtal</v>
      </c>
      <c r="J309" s="3"/>
    </row>
    <row r="310" spans="1:10" x14ac:dyDescent="0.2">
      <c r="A310" s="3" t="s">
        <v>243</v>
      </c>
      <c r="B310" s="1" t="s">
        <v>259</v>
      </c>
      <c r="C310" t="s">
        <v>1169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367</v>
      </c>
      <c r="B311" s="1" t="s">
        <v>324</v>
      </c>
      <c r="C311" t="s">
        <v>1169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366</v>
      </c>
      <c r="B312" s="1" t="s">
        <v>324</v>
      </c>
      <c r="C312" t="s">
        <v>1169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326</v>
      </c>
      <c r="B313" s="1" t="s">
        <v>324</v>
      </c>
      <c r="C313" t="s">
        <v>1169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311</v>
      </c>
      <c r="B314" s="1" t="s">
        <v>311</v>
      </c>
      <c r="C314" t="s">
        <v>1169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207</v>
      </c>
      <c r="B315" s="1" t="s">
        <v>1169</v>
      </c>
      <c r="C315" t="s">
        <v>1169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1168</v>
      </c>
      <c r="C316" t="s">
        <v>1169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324</v>
      </c>
      <c r="B317" s="1" t="s">
        <v>324</v>
      </c>
      <c r="C317" t="s">
        <v>1169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1169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268</v>
      </c>
      <c r="B319" s="1" t="s">
        <v>1169</v>
      </c>
      <c r="C319" t="s">
        <v>1169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1169</v>
      </c>
      <c r="B320" s="1" t="s">
        <v>1169</v>
      </c>
      <c r="C320" t="s">
        <v>1169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241</v>
      </c>
      <c r="B321" s="1" t="s">
        <v>1169</v>
      </c>
      <c r="C321" t="s">
        <v>1169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371</v>
      </c>
      <c r="B322" s="1" t="s">
        <v>1169</v>
      </c>
      <c r="C322" t="s">
        <v>1169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321</v>
      </c>
      <c r="B323" s="1" t="s">
        <v>1168</v>
      </c>
      <c r="C323" t="s">
        <v>1169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313</v>
      </c>
      <c r="B324" s="1" t="s">
        <v>313</v>
      </c>
      <c r="C324" t="s">
        <v>1169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315</v>
      </c>
      <c r="B325" s="1" t="s">
        <v>313</v>
      </c>
      <c r="C325" t="s">
        <v>1169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222</v>
      </c>
      <c r="B326" s="1" t="s">
        <v>159</v>
      </c>
      <c r="C326" t="s">
        <v>1169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224</v>
      </c>
      <c r="B327" s="1" t="s">
        <v>1169</v>
      </c>
      <c r="C327" t="s">
        <v>1169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312</v>
      </c>
      <c r="B328" s="1" t="s">
        <v>310</v>
      </c>
      <c r="C328" t="s">
        <v>1169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328</v>
      </c>
      <c r="B329" s="1" t="s">
        <v>324</v>
      </c>
      <c r="C329" t="s">
        <v>1169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347</v>
      </c>
      <c r="B330" s="1" t="s">
        <v>344</v>
      </c>
      <c r="C330" t="s">
        <v>344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349</v>
      </c>
      <c r="B331" s="1" t="s">
        <v>370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342</v>
      </c>
      <c r="B332" s="1" t="s">
        <v>344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249</v>
      </c>
      <c r="B333" s="1" t="s">
        <v>909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385</v>
      </c>
      <c r="B334" s="1" t="s">
        <v>1591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1591</v>
      </c>
      <c r="B335" s="1" t="s">
        <v>1591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230</v>
      </c>
      <c r="B336" s="1" t="s">
        <v>344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239</v>
      </c>
      <c r="B339" s="1" t="s">
        <v>180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300</v>
      </c>
      <c r="B340" s="1" t="s">
        <v>165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240</v>
      </c>
      <c r="B341" s="1" t="s">
        <v>175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293</v>
      </c>
      <c r="B342" s="1" t="s">
        <v>158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369</v>
      </c>
      <c r="B343" s="1" t="s">
        <v>370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344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304</v>
      </c>
      <c r="B345" s="1" t="s">
        <v>158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289</v>
      </c>
      <c r="B346" s="1" t="s">
        <v>179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1434</v>
      </c>
      <c r="B347" s="1" t="s">
        <v>1434</v>
      </c>
      <c r="C347" t="s">
        <v>1434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1445</v>
      </c>
      <c r="B348" s="1" t="s">
        <v>1445</v>
      </c>
      <c r="C348" t="s">
        <v>1445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302</v>
      </c>
      <c r="B349" s="1" t="s">
        <v>165</v>
      </c>
      <c r="C349" t="s">
        <v>344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350</v>
      </c>
      <c r="B350" s="1" t="s">
        <v>344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287</v>
      </c>
      <c r="B351" s="1" t="s">
        <v>335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346</v>
      </c>
      <c r="B352" s="1" t="s">
        <v>344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294</v>
      </c>
      <c r="B353" s="1" t="s">
        <v>177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274</v>
      </c>
      <c r="B354" s="1" t="s">
        <v>344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275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345</v>
      </c>
      <c r="B356" s="1" t="s">
        <v>344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213</v>
      </c>
      <c r="B357" s="1" t="s">
        <v>355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288</v>
      </c>
      <c r="B358" s="1" t="s">
        <v>180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256</v>
      </c>
      <c r="B359" s="1" t="s">
        <v>370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276</v>
      </c>
      <c r="B360" s="1" t="s">
        <v>344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228</v>
      </c>
      <c r="B361" s="1" t="s">
        <v>351</v>
      </c>
      <c r="C361" t="s">
        <v>351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352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353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351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306</v>
      </c>
      <c r="B366" s="1" t="s">
        <v>359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370</v>
      </c>
      <c r="B367" s="1" t="s">
        <v>370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233</v>
      </c>
      <c r="B368" s="1" t="s">
        <v>335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364</v>
      </c>
      <c r="B369" s="1" t="s">
        <v>467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252</v>
      </c>
      <c r="B370" s="1" t="s">
        <v>370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363</v>
      </c>
      <c r="B371" s="1" t="s">
        <v>363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356</v>
      </c>
      <c r="B372" s="1" t="s">
        <v>355</v>
      </c>
      <c r="C372" t="s">
        <v>354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260</v>
      </c>
      <c r="B373" s="1" t="s">
        <v>335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253</v>
      </c>
      <c r="B374" s="1" t="s">
        <v>201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301</v>
      </c>
      <c r="B375" s="1" t="s">
        <v>1165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357</v>
      </c>
      <c r="B376" s="1" t="s">
        <v>355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354</v>
      </c>
      <c r="B378" s="1" t="s">
        <v>354</v>
      </c>
      <c r="C378" t="s">
        <v>354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242</v>
      </c>
      <c r="B379" s="1" t="s">
        <v>355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348</v>
      </c>
      <c r="B380" s="1" t="s">
        <v>355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198</v>
      </c>
      <c r="B381" s="1" t="s">
        <v>354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257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308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295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296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237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261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362</v>
      </c>
      <c r="B389" s="1" t="s">
        <v>362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467</v>
      </c>
      <c r="B390" s="1" t="s">
        <v>467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212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376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377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379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442</v>
      </c>
      <c r="B397" s="1" t="s">
        <v>444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447</v>
      </c>
      <c r="B398" s="1" t="s">
        <v>444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440</v>
      </c>
      <c r="B399" s="1" t="s">
        <v>444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444</v>
      </c>
      <c r="B400" s="1" t="s">
        <v>444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441</v>
      </c>
      <c r="B401" s="1" t="s">
        <v>444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449</v>
      </c>
      <c r="B402" s="1" t="s">
        <v>444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445</v>
      </c>
      <c r="B403" s="1" t="s">
        <v>444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448</v>
      </c>
      <c r="B404" s="1" t="s">
        <v>444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443</v>
      </c>
      <c r="B405" s="1" t="s">
        <v>444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446</v>
      </c>
      <c r="B406" s="1" t="s">
        <v>444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1588</v>
      </c>
      <c r="B408" s="1" t="s">
        <v>1588</v>
      </c>
      <c r="C408" s="1" t="s">
        <v>1588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917</v>
      </c>
      <c r="B409" s="1" t="s">
        <v>917</v>
      </c>
      <c r="C409" t="s">
        <v>917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220</v>
      </c>
      <c r="B410" s="1" t="s">
        <v>104</v>
      </c>
      <c r="C410" t="s">
        <v>917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1414</v>
      </c>
      <c r="B411" s="1" t="s">
        <v>1414</v>
      </c>
      <c r="C411" t="s">
        <v>1414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 t="shared" ref="G411:G416" si="8"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1489</v>
      </c>
      <c r="B412" s="1" t="s">
        <v>1489</v>
      </c>
      <c r="C412" s="121" t="s">
        <v>1489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 t="shared" si="8"/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1501</v>
      </c>
      <c r="B413" s="1" t="s">
        <v>1501</v>
      </c>
      <c r="C413" s="121" t="s">
        <v>1501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 t="shared" si="8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1631</v>
      </c>
      <c r="B414" s="1" t="s">
        <v>139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8"/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1634</v>
      </c>
      <c r="B415" s="1" t="s">
        <v>170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8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165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8"/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xmlns:xlrd2="http://schemas.microsoft.com/office/spreadsheetml/2017/richdata2"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5" operator="equal">
      <formula>FALSE</formula>
    </cfRule>
  </conditionalFormatting>
  <conditionalFormatting sqref="G2:G407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48"/>
  <sheetViews>
    <sheetView workbookViewId="0">
      <pane ySplit="1" topLeftCell="A75" activePane="bottomLeft" state="frozenSplit"/>
      <selection pane="bottomLeft" activeCell="A110" sqref="A110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925</v>
      </c>
      <c r="C1" s="10" t="s">
        <v>928</v>
      </c>
      <c r="D1" s="10" t="s">
        <v>929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930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930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930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930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930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930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930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930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930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930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930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930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932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932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932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932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932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932</v>
      </c>
    </row>
    <row r="20" spans="1:4" x14ac:dyDescent="0.2">
      <c r="A20" s="3" t="s">
        <v>138</v>
      </c>
      <c r="B20" s="3" t="s">
        <v>1</v>
      </c>
      <c r="C20" s="3" t="s">
        <v>931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931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931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931</v>
      </c>
      <c r="D23" s="3" t="s">
        <v>15</v>
      </c>
    </row>
    <row r="24" spans="1:4" x14ac:dyDescent="0.2">
      <c r="A24" s="3" t="s">
        <v>1673</v>
      </c>
      <c r="B24" s="3" t="s">
        <v>937</v>
      </c>
      <c r="C24" s="3" t="s">
        <v>938</v>
      </c>
      <c r="D24" s="3" t="s">
        <v>939</v>
      </c>
    </row>
    <row r="25" spans="1:4" x14ac:dyDescent="0.2">
      <c r="A25" s="3" t="s">
        <v>1173</v>
      </c>
      <c r="B25" s="3" t="s">
        <v>937</v>
      </c>
      <c r="C25" s="3" t="s">
        <v>938</v>
      </c>
      <c r="D25" s="3" t="s">
        <v>939</v>
      </c>
    </row>
    <row r="26" spans="1:4" x14ac:dyDescent="0.2">
      <c r="A26" s="3" t="s">
        <v>1174</v>
      </c>
      <c r="B26" s="3" t="s">
        <v>937</v>
      </c>
      <c r="C26" s="3" t="s">
        <v>938</v>
      </c>
      <c r="D26" s="3" t="s">
        <v>939</v>
      </c>
    </row>
    <row r="27" spans="1:4" x14ac:dyDescent="0.2">
      <c r="A27" s="3" t="s">
        <v>1675</v>
      </c>
      <c r="B27" s="3" t="s">
        <v>937</v>
      </c>
      <c r="C27" s="3" t="s">
        <v>938</v>
      </c>
      <c r="D27" s="3" t="s">
        <v>939</v>
      </c>
    </row>
    <row r="28" spans="1:4" x14ac:dyDescent="0.2">
      <c r="A28" s="3" t="s">
        <v>413</v>
      </c>
      <c r="B28" s="3" t="s">
        <v>937</v>
      </c>
      <c r="C28" s="3" t="s">
        <v>938</v>
      </c>
      <c r="D28" s="3" t="s">
        <v>939</v>
      </c>
    </row>
    <row r="29" spans="1:4" x14ac:dyDescent="0.2">
      <c r="A29" s="3" t="s">
        <v>414</v>
      </c>
      <c r="B29" s="3" t="s">
        <v>937</v>
      </c>
      <c r="C29" s="3" t="s">
        <v>938</v>
      </c>
      <c r="D29" s="3" t="s">
        <v>939</v>
      </c>
    </row>
    <row r="30" spans="1:4" x14ac:dyDescent="0.2">
      <c r="A30" s="3" t="s">
        <v>415</v>
      </c>
      <c r="B30" s="3" t="s">
        <v>937</v>
      </c>
      <c r="C30" s="3" t="s">
        <v>938</v>
      </c>
      <c r="D30" s="3" t="s">
        <v>939</v>
      </c>
    </row>
    <row r="31" spans="1:4" x14ac:dyDescent="0.2">
      <c r="A31" s="3" t="s">
        <v>416</v>
      </c>
      <c r="B31" s="3" t="s">
        <v>937</v>
      </c>
      <c r="C31" s="3" t="s">
        <v>938</v>
      </c>
      <c r="D31" s="3" t="s">
        <v>939</v>
      </c>
    </row>
    <row r="32" spans="1:4" x14ac:dyDescent="0.2">
      <c r="A32" s="3" t="s">
        <v>417</v>
      </c>
      <c r="B32" s="3" t="s">
        <v>937</v>
      </c>
      <c r="C32" s="3" t="s">
        <v>938</v>
      </c>
      <c r="D32" s="3" t="s">
        <v>939</v>
      </c>
    </row>
    <row r="33" spans="1:4" x14ac:dyDescent="0.2">
      <c r="A33" s="3" t="s">
        <v>418</v>
      </c>
      <c r="B33" s="3" t="s">
        <v>937</v>
      </c>
      <c r="C33" s="3" t="s">
        <v>938</v>
      </c>
      <c r="D33" s="3" t="s">
        <v>939</v>
      </c>
    </row>
    <row r="34" spans="1:4" x14ac:dyDescent="0.2">
      <c r="A34" s="3" t="s">
        <v>419</v>
      </c>
      <c r="B34" s="3" t="s">
        <v>937</v>
      </c>
      <c r="C34" s="3" t="s">
        <v>938</v>
      </c>
      <c r="D34" s="3" t="s">
        <v>939</v>
      </c>
    </row>
    <row r="35" spans="1:4" x14ac:dyDescent="0.2">
      <c r="A35" s="3" t="s">
        <v>420</v>
      </c>
      <c r="B35" s="3" t="s">
        <v>937</v>
      </c>
      <c r="C35" s="3" t="s">
        <v>938</v>
      </c>
      <c r="D35" s="3" t="s">
        <v>939</v>
      </c>
    </row>
    <row r="36" spans="1:4" x14ac:dyDescent="0.2">
      <c r="A36" s="3" t="s">
        <v>421</v>
      </c>
      <c r="B36" s="3" t="s">
        <v>937</v>
      </c>
      <c r="C36" s="3" t="s">
        <v>938</v>
      </c>
      <c r="D36" s="3" t="s">
        <v>939</v>
      </c>
    </row>
    <row r="37" spans="1:4" x14ac:dyDescent="0.2">
      <c r="A37" s="3" t="s">
        <v>422</v>
      </c>
      <c r="B37" s="3" t="s">
        <v>937</v>
      </c>
      <c r="C37" s="3" t="s">
        <v>938</v>
      </c>
      <c r="D37" s="3" t="s">
        <v>939</v>
      </c>
    </row>
    <row r="38" spans="1:4" x14ac:dyDescent="0.2">
      <c r="A38" s="3" t="s">
        <v>423</v>
      </c>
      <c r="B38" s="3" t="s">
        <v>937</v>
      </c>
      <c r="C38" s="3" t="s">
        <v>938</v>
      </c>
      <c r="D38" s="3" t="s">
        <v>939</v>
      </c>
    </row>
    <row r="39" spans="1:4" x14ac:dyDescent="0.2">
      <c r="A39" s="3" t="s">
        <v>424</v>
      </c>
      <c r="B39" s="3" t="s">
        <v>937</v>
      </c>
      <c r="C39" s="3" t="s">
        <v>938</v>
      </c>
      <c r="D39" s="3" t="s">
        <v>939</v>
      </c>
    </row>
    <row r="40" spans="1:4" x14ac:dyDescent="0.2">
      <c r="A40" s="3" t="s">
        <v>425</v>
      </c>
      <c r="B40" s="3" t="s">
        <v>937</v>
      </c>
      <c r="C40" s="3" t="s">
        <v>938</v>
      </c>
      <c r="D40" s="3" t="s">
        <v>939</v>
      </c>
    </row>
    <row r="41" spans="1:4" x14ac:dyDescent="0.2">
      <c r="A41" s="3" t="s">
        <v>426</v>
      </c>
      <c r="B41" s="3" t="s">
        <v>937</v>
      </c>
      <c r="C41" s="3" t="s">
        <v>938</v>
      </c>
      <c r="D41" s="3" t="s">
        <v>939</v>
      </c>
    </row>
    <row r="42" spans="1:4" x14ac:dyDescent="0.2">
      <c r="A42" s="3" t="s">
        <v>427</v>
      </c>
      <c r="B42" s="3" t="s">
        <v>937</v>
      </c>
      <c r="C42" s="3" t="s">
        <v>938</v>
      </c>
      <c r="D42" s="3" t="s">
        <v>939</v>
      </c>
    </row>
    <row r="43" spans="1:4" x14ac:dyDescent="0.2">
      <c r="A43" s="3" t="s">
        <v>428</v>
      </c>
      <c r="B43" s="3" t="s">
        <v>937</v>
      </c>
      <c r="C43" s="3" t="s">
        <v>938</v>
      </c>
      <c r="D43" s="3" t="s">
        <v>939</v>
      </c>
    </row>
    <row r="44" spans="1:4" x14ac:dyDescent="0.2">
      <c r="A44" s="3" t="s">
        <v>429</v>
      </c>
      <c r="B44" s="3" t="s">
        <v>937</v>
      </c>
      <c r="C44" s="3" t="s">
        <v>938</v>
      </c>
      <c r="D44" s="3" t="s">
        <v>939</v>
      </c>
    </row>
    <row r="45" spans="1:4" x14ac:dyDescent="0.2">
      <c r="A45" s="3" t="s">
        <v>430</v>
      </c>
      <c r="B45" s="3" t="s">
        <v>937</v>
      </c>
      <c r="C45" s="3" t="s">
        <v>938</v>
      </c>
      <c r="D45" s="3" t="s">
        <v>939</v>
      </c>
    </row>
    <row r="46" spans="1:4" x14ac:dyDescent="0.2">
      <c r="A46" s="3" t="s">
        <v>1407</v>
      </c>
      <c r="B46" s="3" t="s">
        <v>937</v>
      </c>
      <c r="C46" s="3" t="s">
        <v>938</v>
      </c>
      <c r="D46" s="3" t="s">
        <v>939</v>
      </c>
    </row>
    <row r="47" spans="1:4" x14ac:dyDescent="0.2">
      <c r="A47" s="3" t="s">
        <v>431</v>
      </c>
      <c r="B47" s="3" t="s">
        <v>937</v>
      </c>
      <c r="C47" s="3" t="s">
        <v>938</v>
      </c>
      <c r="D47" s="3" t="s">
        <v>939</v>
      </c>
    </row>
    <row r="48" spans="1:4" x14ac:dyDescent="0.2">
      <c r="A48" s="3" t="s">
        <v>432</v>
      </c>
      <c r="B48" s="3" t="s">
        <v>937</v>
      </c>
      <c r="C48" s="3" t="s">
        <v>938</v>
      </c>
      <c r="D48" s="3" t="s">
        <v>939</v>
      </c>
    </row>
    <row r="49" spans="1:4" x14ac:dyDescent="0.2">
      <c r="A49" s="3" t="s">
        <v>433</v>
      </c>
      <c r="B49" s="3" t="s">
        <v>937</v>
      </c>
      <c r="C49" s="3" t="s">
        <v>938</v>
      </c>
      <c r="D49" s="3" t="s">
        <v>939</v>
      </c>
    </row>
    <row r="50" spans="1:4" x14ac:dyDescent="0.2">
      <c r="A50" s="3" t="s">
        <v>434</v>
      </c>
      <c r="B50" s="3" t="s">
        <v>937</v>
      </c>
      <c r="C50" s="3" t="s">
        <v>938</v>
      </c>
      <c r="D50" s="3" t="s">
        <v>939</v>
      </c>
    </row>
    <row r="51" spans="1:4" x14ac:dyDescent="0.2">
      <c r="A51" s="3" t="s">
        <v>435</v>
      </c>
      <c r="B51" s="3" t="s">
        <v>937</v>
      </c>
      <c r="C51" s="3" t="s">
        <v>938</v>
      </c>
      <c r="D51" s="3" t="s">
        <v>939</v>
      </c>
    </row>
    <row r="52" spans="1:4" x14ac:dyDescent="0.2">
      <c r="A52" s="3" t="s">
        <v>436</v>
      </c>
      <c r="B52" s="3" t="s">
        <v>937</v>
      </c>
      <c r="C52" s="3" t="s">
        <v>938</v>
      </c>
      <c r="D52" s="3" t="s">
        <v>939</v>
      </c>
    </row>
    <row r="53" spans="1:4" x14ac:dyDescent="0.2">
      <c r="A53" s="3" t="s">
        <v>1674</v>
      </c>
      <c r="B53" s="3" t="s">
        <v>937</v>
      </c>
      <c r="C53" s="3" t="s">
        <v>938</v>
      </c>
      <c r="D53" s="3" t="s">
        <v>939</v>
      </c>
    </row>
    <row r="54" spans="1:4" x14ac:dyDescent="0.2">
      <c r="A54" s="3" t="s">
        <v>437</v>
      </c>
      <c r="B54" s="3" t="s">
        <v>937</v>
      </c>
      <c r="C54" s="3" t="s">
        <v>938</v>
      </c>
      <c r="D54" s="3" t="s">
        <v>939</v>
      </c>
    </row>
    <row r="55" spans="1:4" x14ac:dyDescent="0.2">
      <c r="A55" s="3" t="s">
        <v>438</v>
      </c>
      <c r="B55" s="3" t="s">
        <v>937</v>
      </c>
      <c r="C55" s="3" t="s">
        <v>938</v>
      </c>
      <c r="D55" s="3" t="s">
        <v>939</v>
      </c>
    </row>
    <row r="56" spans="1:4" x14ac:dyDescent="0.2">
      <c r="A56" s="3" t="s">
        <v>439</v>
      </c>
      <c r="B56" s="3" t="s">
        <v>937</v>
      </c>
      <c r="C56" s="3" t="s">
        <v>938</v>
      </c>
      <c r="D56" s="3" t="s">
        <v>939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934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934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934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934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934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934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934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934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934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934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935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935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936</v>
      </c>
    </row>
    <row r="70" spans="1:4" x14ac:dyDescent="0.2">
      <c r="A70" s="3" t="s">
        <v>234</v>
      </c>
      <c r="B70" s="3" t="s">
        <v>1</v>
      </c>
      <c r="C70" s="3" t="s">
        <v>968</v>
      </c>
      <c r="D70" s="3" t="s">
        <v>969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941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941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941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940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940</v>
      </c>
    </row>
    <row r="76" spans="1:4" x14ac:dyDescent="0.2">
      <c r="A76" s="3" t="s">
        <v>400</v>
      </c>
      <c r="B76" s="3" t="s">
        <v>943</v>
      </c>
      <c r="C76" s="3" t="s">
        <v>17</v>
      </c>
      <c r="D76" s="3" t="s">
        <v>944</v>
      </c>
    </row>
    <row r="77" spans="1:4" x14ac:dyDescent="0.2">
      <c r="A77" s="3" t="s">
        <v>401</v>
      </c>
      <c r="B77" s="3" t="s">
        <v>943</v>
      </c>
      <c r="C77" s="3" t="s">
        <v>17</v>
      </c>
      <c r="D77" s="3" t="s">
        <v>944</v>
      </c>
    </row>
    <row r="78" spans="1:4" x14ac:dyDescent="0.2">
      <c r="A78" s="3" t="s">
        <v>105</v>
      </c>
      <c r="B78" s="3" t="s">
        <v>27</v>
      </c>
      <c r="C78" s="3" t="s">
        <v>945</v>
      </c>
      <c r="D78" s="3" t="s">
        <v>946</v>
      </c>
    </row>
    <row r="79" spans="1:4" x14ac:dyDescent="0.2">
      <c r="A79" s="3" t="s">
        <v>114</v>
      </c>
      <c r="B79" s="3" t="s">
        <v>27</v>
      </c>
      <c r="C79" s="3" t="s">
        <v>945</v>
      </c>
      <c r="D79" s="3" t="s">
        <v>946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950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950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949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926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926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926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926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926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926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926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926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926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926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926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926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926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926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926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926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926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926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926</v>
      </c>
    </row>
    <row r="102" spans="1:4" x14ac:dyDescent="0.2">
      <c r="A102" s="3" t="s">
        <v>1024</v>
      </c>
      <c r="B102" s="3" t="s">
        <v>1</v>
      </c>
      <c r="C102" s="3" t="s">
        <v>29</v>
      </c>
      <c r="D102" s="3" t="s">
        <v>926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926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926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926</v>
      </c>
    </row>
    <row r="106" spans="1:4" x14ac:dyDescent="0.2">
      <c r="A106" s="3" t="s">
        <v>1501</v>
      </c>
      <c r="B106" s="3" t="s">
        <v>1</v>
      </c>
      <c r="C106" s="3" t="s">
        <v>17</v>
      </c>
      <c r="D106" s="3" t="s">
        <v>926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926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947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947</v>
      </c>
    </row>
    <row r="110" spans="1:4" x14ac:dyDescent="0.2">
      <c r="A110" s="3" t="s">
        <v>1676</v>
      </c>
      <c r="B110" s="3" t="s">
        <v>1</v>
      </c>
      <c r="C110" s="3" t="s">
        <v>938</v>
      </c>
      <c r="D110" s="3" t="s">
        <v>954</v>
      </c>
    </row>
    <row r="111" spans="1:4" x14ac:dyDescent="0.2">
      <c r="A111" s="3" t="s">
        <v>211</v>
      </c>
      <c r="B111" s="3" t="s">
        <v>1</v>
      </c>
      <c r="C111" s="3" t="s">
        <v>938</v>
      </c>
      <c r="D111" s="3" t="s">
        <v>954</v>
      </c>
    </row>
    <row r="112" spans="1:4" x14ac:dyDescent="0.2">
      <c r="A112" s="3" t="s">
        <v>213</v>
      </c>
      <c r="B112" s="3" t="s">
        <v>1</v>
      </c>
      <c r="C112" s="3" t="s">
        <v>938</v>
      </c>
      <c r="D112" s="3" t="s">
        <v>954</v>
      </c>
    </row>
    <row r="113" spans="1:4" x14ac:dyDescent="0.2">
      <c r="A113" s="3" t="s">
        <v>214</v>
      </c>
      <c r="B113" s="3" t="s">
        <v>1</v>
      </c>
      <c r="C113" s="3" t="s">
        <v>938</v>
      </c>
      <c r="D113" s="3" t="s">
        <v>954</v>
      </c>
    </row>
    <row r="114" spans="1:4" x14ac:dyDescent="0.2">
      <c r="A114" s="3" t="s">
        <v>215</v>
      </c>
      <c r="B114" s="3" t="s">
        <v>1</v>
      </c>
      <c r="C114" s="3" t="s">
        <v>938</v>
      </c>
      <c r="D114" s="3" t="s">
        <v>954</v>
      </c>
    </row>
    <row r="115" spans="1:4" x14ac:dyDescent="0.2">
      <c r="A115" s="3" t="s">
        <v>216</v>
      </c>
      <c r="B115" s="3" t="s">
        <v>1</v>
      </c>
      <c r="C115" s="3" t="s">
        <v>938</v>
      </c>
      <c r="D115" s="3" t="s">
        <v>954</v>
      </c>
    </row>
    <row r="116" spans="1:4" x14ac:dyDescent="0.2">
      <c r="A116" s="3" t="s">
        <v>217</v>
      </c>
      <c r="B116" s="3" t="s">
        <v>1</v>
      </c>
      <c r="C116" s="3" t="s">
        <v>938</v>
      </c>
      <c r="D116" s="3" t="s">
        <v>954</v>
      </c>
    </row>
    <row r="117" spans="1:4" x14ac:dyDescent="0.2">
      <c r="A117" s="3" t="s">
        <v>218</v>
      </c>
      <c r="B117" s="3" t="s">
        <v>1</v>
      </c>
      <c r="C117" s="3" t="s">
        <v>938</v>
      </c>
      <c r="D117" s="3" t="s">
        <v>954</v>
      </c>
    </row>
    <row r="118" spans="1:4" x14ac:dyDescent="0.2">
      <c r="A118" s="3" t="s">
        <v>219</v>
      </c>
      <c r="B118" s="3" t="s">
        <v>1</v>
      </c>
      <c r="C118" s="3" t="s">
        <v>938</v>
      </c>
      <c r="D118" s="3" t="s">
        <v>954</v>
      </c>
    </row>
    <row r="119" spans="1:4" x14ac:dyDescent="0.2">
      <c r="A119" s="3" t="s">
        <v>220</v>
      </c>
      <c r="B119" s="3" t="s">
        <v>1</v>
      </c>
      <c r="C119" s="3" t="s">
        <v>938</v>
      </c>
      <c r="D119" s="3" t="s">
        <v>954</v>
      </c>
    </row>
    <row r="120" spans="1:4" x14ac:dyDescent="0.2">
      <c r="A120" s="3" t="s">
        <v>221</v>
      </c>
      <c r="B120" s="3" t="s">
        <v>1</v>
      </c>
      <c r="C120" s="3" t="s">
        <v>938</v>
      </c>
      <c r="D120" s="3" t="s">
        <v>954</v>
      </c>
    </row>
    <row r="121" spans="1:4" x14ac:dyDescent="0.2">
      <c r="A121" s="3" t="s">
        <v>222</v>
      </c>
      <c r="B121" s="3" t="s">
        <v>1</v>
      </c>
      <c r="C121" s="3" t="s">
        <v>938</v>
      </c>
      <c r="D121" s="3" t="s">
        <v>954</v>
      </c>
    </row>
    <row r="122" spans="1:4" x14ac:dyDescent="0.2">
      <c r="A122" s="3" t="s">
        <v>223</v>
      </c>
      <c r="B122" s="3" t="s">
        <v>1</v>
      </c>
      <c r="C122" s="3" t="s">
        <v>938</v>
      </c>
      <c r="D122" s="3" t="s">
        <v>954</v>
      </c>
    </row>
    <row r="123" spans="1:4" x14ac:dyDescent="0.2">
      <c r="A123" s="3" t="s">
        <v>224</v>
      </c>
      <c r="B123" s="3" t="s">
        <v>1</v>
      </c>
      <c r="C123" s="3" t="s">
        <v>938</v>
      </c>
      <c r="D123" s="3" t="s">
        <v>954</v>
      </c>
    </row>
    <row r="124" spans="1:4" x14ac:dyDescent="0.2">
      <c r="A124" s="3" t="s">
        <v>225</v>
      </c>
      <c r="B124" s="3" t="s">
        <v>1</v>
      </c>
      <c r="C124" s="3" t="s">
        <v>938</v>
      </c>
      <c r="D124" s="3" t="s">
        <v>954</v>
      </c>
    </row>
    <row r="125" spans="1:4" x14ac:dyDescent="0.2">
      <c r="A125" s="3" t="s">
        <v>226</v>
      </c>
      <c r="B125" s="3" t="s">
        <v>1</v>
      </c>
      <c r="C125" s="3" t="s">
        <v>938</v>
      </c>
      <c r="D125" s="3" t="s">
        <v>954</v>
      </c>
    </row>
    <row r="126" spans="1:4" x14ac:dyDescent="0.2">
      <c r="A126" s="3" t="s">
        <v>227</v>
      </c>
      <c r="B126" s="3" t="s">
        <v>1</v>
      </c>
      <c r="C126" s="3" t="s">
        <v>938</v>
      </c>
      <c r="D126" s="3" t="s">
        <v>954</v>
      </c>
    </row>
    <row r="127" spans="1:4" x14ac:dyDescent="0.2">
      <c r="A127" s="3" t="s">
        <v>228</v>
      </c>
      <c r="B127" s="3" t="s">
        <v>1</v>
      </c>
      <c r="C127" s="3" t="s">
        <v>938</v>
      </c>
      <c r="D127" s="3" t="s">
        <v>954</v>
      </c>
    </row>
    <row r="128" spans="1:4" x14ac:dyDescent="0.2">
      <c r="A128" s="3" t="s">
        <v>229</v>
      </c>
      <c r="B128" s="3" t="s">
        <v>1</v>
      </c>
      <c r="C128" s="3" t="s">
        <v>938</v>
      </c>
      <c r="D128" s="3" t="s">
        <v>954</v>
      </c>
    </row>
    <row r="129" spans="1:4" x14ac:dyDescent="0.2">
      <c r="A129" s="3" t="s">
        <v>230</v>
      </c>
      <c r="B129" s="3" t="s">
        <v>1</v>
      </c>
      <c r="C129" s="3" t="s">
        <v>938</v>
      </c>
      <c r="D129" s="3" t="s">
        <v>954</v>
      </c>
    </row>
    <row r="130" spans="1:4" x14ac:dyDescent="0.2">
      <c r="A130" s="3" t="s">
        <v>231</v>
      </c>
      <c r="B130" s="3" t="s">
        <v>1</v>
      </c>
      <c r="C130" s="3" t="s">
        <v>938</v>
      </c>
      <c r="D130" s="3" t="s">
        <v>954</v>
      </c>
    </row>
    <row r="131" spans="1:4" x14ac:dyDescent="0.2">
      <c r="A131" s="3" t="s">
        <v>232</v>
      </c>
      <c r="B131" s="3" t="s">
        <v>1</v>
      </c>
      <c r="C131" s="3" t="s">
        <v>938</v>
      </c>
      <c r="D131" s="3" t="s">
        <v>954</v>
      </c>
    </row>
    <row r="132" spans="1:4" x14ac:dyDescent="0.2">
      <c r="A132" s="3" t="s">
        <v>233</v>
      </c>
      <c r="B132" s="3" t="s">
        <v>1</v>
      </c>
      <c r="C132" s="3" t="s">
        <v>938</v>
      </c>
      <c r="D132" s="3" t="s">
        <v>954</v>
      </c>
    </row>
    <row r="133" spans="1:4" x14ac:dyDescent="0.2">
      <c r="A133" s="3" t="s">
        <v>236</v>
      </c>
      <c r="B133" s="3" t="s">
        <v>1</v>
      </c>
      <c r="C133" s="3" t="s">
        <v>938</v>
      </c>
      <c r="D133" s="3" t="s">
        <v>954</v>
      </c>
    </row>
    <row r="134" spans="1:4" x14ac:dyDescent="0.2">
      <c r="A134" s="3" t="s">
        <v>237</v>
      </c>
      <c r="B134" s="3" t="s">
        <v>1</v>
      </c>
      <c r="C134" s="3" t="s">
        <v>938</v>
      </c>
      <c r="D134" s="3" t="s">
        <v>954</v>
      </c>
    </row>
    <row r="135" spans="1:4" x14ac:dyDescent="0.2">
      <c r="A135" s="3" t="s">
        <v>238</v>
      </c>
      <c r="B135" s="3" t="s">
        <v>1</v>
      </c>
      <c r="C135" s="3" t="s">
        <v>938</v>
      </c>
      <c r="D135" s="3" t="s">
        <v>954</v>
      </c>
    </row>
    <row r="136" spans="1:4" x14ac:dyDescent="0.2">
      <c r="A136" s="3" t="s">
        <v>239</v>
      </c>
      <c r="B136" s="3" t="s">
        <v>1</v>
      </c>
      <c r="C136" s="3" t="s">
        <v>938</v>
      </c>
      <c r="D136" s="3" t="s">
        <v>954</v>
      </c>
    </row>
    <row r="137" spans="1:4" x14ac:dyDescent="0.2">
      <c r="A137" s="3" t="s">
        <v>241</v>
      </c>
      <c r="B137" s="3" t="s">
        <v>1</v>
      </c>
      <c r="C137" s="3" t="s">
        <v>938</v>
      </c>
      <c r="D137" s="3" t="s">
        <v>954</v>
      </c>
    </row>
    <row r="138" spans="1:4" x14ac:dyDescent="0.2">
      <c r="A138" s="3" t="s">
        <v>242</v>
      </c>
      <c r="B138" s="3" t="s">
        <v>1</v>
      </c>
      <c r="C138" s="3" t="s">
        <v>938</v>
      </c>
      <c r="D138" s="3" t="s">
        <v>954</v>
      </c>
    </row>
    <row r="139" spans="1:4" x14ac:dyDescent="0.2">
      <c r="A139" s="3" t="s">
        <v>243</v>
      </c>
      <c r="B139" s="3" t="s">
        <v>1</v>
      </c>
      <c r="C139" s="3" t="s">
        <v>938</v>
      </c>
      <c r="D139" s="3" t="s">
        <v>954</v>
      </c>
    </row>
    <row r="140" spans="1:4" x14ac:dyDescent="0.2">
      <c r="A140" s="3" t="s">
        <v>244</v>
      </c>
      <c r="B140" s="3" t="s">
        <v>1</v>
      </c>
      <c r="C140" s="3" t="s">
        <v>938</v>
      </c>
      <c r="D140" s="3" t="s">
        <v>954</v>
      </c>
    </row>
    <row r="141" spans="1:4" x14ac:dyDescent="0.2">
      <c r="A141" s="3" t="s">
        <v>245</v>
      </c>
      <c r="B141" s="3" t="s">
        <v>1</v>
      </c>
      <c r="C141" s="3" t="s">
        <v>938</v>
      </c>
      <c r="D141" s="3" t="s">
        <v>954</v>
      </c>
    </row>
    <row r="142" spans="1:4" x14ac:dyDescent="0.2">
      <c r="A142" s="3" t="s">
        <v>246</v>
      </c>
      <c r="B142" s="3" t="s">
        <v>1</v>
      </c>
      <c r="C142" s="3" t="s">
        <v>938</v>
      </c>
      <c r="D142" s="3" t="s">
        <v>954</v>
      </c>
    </row>
    <row r="143" spans="1:4" x14ac:dyDescent="0.2">
      <c r="A143" s="3" t="s">
        <v>247</v>
      </c>
      <c r="B143" s="3" t="s">
        <v>1</v>
      </c>
      <c r="C143" s="3" t="s">
        <v>938</v>
      </c>
      <c r="D143" s="3" t="s">
        <v>954</v>
      </c>
    </row>
    <row r="144" spans="1:4" x14ac:dyDescent="0.2">
      <c r="A144" s="3" t="s">
        <v>248</v>
      </c>
      <c r="B144" s="3" t="s">
        <v>1</v>
      </c>
      <c r="C144" s="3" t="s">
        <v>938</v>
      </c>
      <c r="D144" s="3" t="s">
        <v>954</v>
      </c>
    </row>
    <row r="145" spans="1:4" x14ac:dyDescent="0.2">
      <c r="A145" s="3" t="s">
        <v>249</v>
      </c>
      <c r="B145" s="3" t="s">
        <v>1</v>
      </c>
      <c r="C145" s="3" t="s">
        <v>938</v>
      </c>
      <c r="D145" s="3" t="s">
        <v>954</v>
      </c>
    </row>
    <row r="146" spans="1:4" x14ac:dyDescent="0.2">
      <c r="A146" s="3" t="s">
        <v>250</v>
      </c>
      <c r="B146" s="3" t="s">
        <v>1</v>
      </c>
      <c r="C146" s="3" t="s">
        <v>938</v>
      </c>
      <c r="D146" s="3" t="s">
        <v>954</v>
      </c>
    </row>
    <row r="147" spans="1:4" x14ac:dyDescent="0.2">
      <c r="A147" s="3" t="s">
        <v>251</v>
      </c>
      <c r="B147" s="3" t="s">
        <v>1</v>
      </c>
      <c r="C147" s="3" t="s">
        <v>938</v>
      </c>
      <c r="D147" s="3" t="s">
        <v>954</v>
      </c>
    </row>
    <row r="148" spans="1:4" x14ac:dyDescent="0.2">
      <c r="A148" s="3" t="s">
        <v>252</v>
      </c>
      <c r="B148" s="3" t="s">
        <v>1</v>
      </c>
      <c r="C148" s="3" t="s">
        <v>938</v>
      </c>
      <c r="D148" s="3" t="s">
        <v>954</v>
      </c>
    </row>
    <row r="149" spans="1:4" x14ac:dyDescent="0.2">
      <c r="A149" s="3" t="s">
        <v>253</v>
      </c>
      <c r="B149" s="3" t="s">
        <v>1</v>
      </c>
      <c r="C149" s="3" t="s">
        <v>938</v>
      </c>
      <c r="D149" s="3" t="s">
        <v>954</v>
      </c>
    </row>
    <row r="150" spans="1:4" x14ac:dyDescent="0.2">
      <c r="A150" s="3" t="s">
        <v>254</v>
      </c>
      <c r="B150" s="3" t="s">
        <v>1</v>
      </c>
      <c r="C150" s="3" t="s">
        <v>938</v>
      </c>
      <c r="D150" s="3" t="s">
        <v>954</v>
      </c>
    </row>
    <row r="151" spans="1:4" x14ac:dyDescent="0.2">
      <c r="A151" s="3" t="s">
        <v>255</v>
      </c>
      <c r="B151" s="3" t="s">
        <v>1</v>
      </c>
      <c r="C151" s="3" t="s">
        <v>938</v>
      </c>
      <c r="D151" s="3" t="s">
        <v>954</v>
      </c>
    </row>
    <row r="152" spans="1:4" x14ac:dyDescent="0.2">
      <c r="A152" s="3" t="s">
        <v>256</v>
      </c>
      <c r="B152" s="3" t="s">
        <v>1</v>
      </c>
      <c r="C152" s="3" t="s">
        <v>938</v>
      </c>
      <c r="D152" s="3" t="s">
        <v>954</v>
      </c>
    </row>
    <row r="153" spans="1:4" x14ac:dyDescent="0.2">
      <c r="A153" s="3" t="s">
        <v>258</v>
      </c>
      <c r="B153" s="3" t="s">
        <v>1</v>
      </c>
      <c r="C153" s="3" t="s">
        <v>938</v>
      </c>
      <c r="D153" s="3" t="s">
        <v>954</v>
      </c>
    </row>
    <row r="154" spans="1:4" x14ac:dyDescent="0.2">
      <c r="A154" s="3" t="s">
        <v>259</v>
      </c>
      <c r="B154" s="3" t="s">
        <v>1</v>
      </c>
      <c r="C154" s="3" t="s">
        <v>938</v>
      </c>
      <c r="D154" s="3" t="s">
        <v>954</v>
      </c>
    </row>
    <row r="155" spans="1:4" x14ac:dyDescent="0.2">
      <c r="A155" s="3" t="s">
        <v>261</v>
      </c>
      <c r="B155" s="3" t="s">
        <v>1</v>
      </c>
      <c r="C155" s="3" t="s">
        <v>938</v>
      </c>
      <c r="D155" s="3" t="s">
        <v>954</v>
      </c>
    </row>
    <row r="156" spans="1:4" x14ac:dyDescent="0.2">
      <c r="A156" s="3" t="s">
        <v>262</v>
      </c>
      <c r="B156" s="3" t="s">
        <v>1</v>
      </c>
      <c r="C156" s="3" t="s">
        <v>938</v>
      </c>
      <c r="D156" s="3" t="s">
        <v>954</v>
      </c>
    </row>
    <row r="157" spans="1:4" x14ac:dyDescent="0.2">
      <c r="A157" s="3" t="s">
        <v>263</v>
      </c>
      <c r="B157" s="3" t="s">
        <v>1</v>
      </c>
      <c r="C157" s="3" t="s">
        <v>938</v>
      </c>
      <c r="D157" s="3" t="s">
        <v>954</v>
      </c>
    </row>
    <row r="158" spans="1:4" x14ac:dyDescent="0.2">
      <c r="A158" s="3" t="s">
        <v>264</v>
      </c>
      <c r="B158" s="3" t="s">
        <v>1</v>
      </c>
      <c r="C158" s="3" t="s">
        <v>938</v>
      </c>
      <c r="D158" s="3" t="s">
        <v>954</v>
      </c>
    </row>
    <row r="159" spans="1:4" x14ac:dyDescent="0.2">
      <c r="A159" s="3" t="s">
        <v>265</v>
      </c>
      <c r="B159" s="3" t="s">
        <v>1</v>
      </c>
      <c r="C159" s="3" t="s">
        <v>938</v>
      </c>
      <c r="D159" s="3" t="s">
        <v>954</v>
      </c>
    </row>
    <row r="160" spans="1:4" x14ac:dyDescent="0.2">
      <c r="A160" s="3" t="s">
        <v>266</v>
      </c>
      <c r="B160" s="3" t="s">
        <v>1</v>
      </c>
      <c r="C160" s="3" t="s">
        <v>938</v>
      </c>
      <c r="D160" s="3" t="s">
        <v>954</v>
      </c>
    </row>
    <row r="161" spans="1:4" x14ac:dyDescent="0.2">
      <c r="A161" s="3" t="s">
        <v>267</v>
      </c>
      <c r="B161" s="3" t="s">
        <v>1</v>
      </c>
      <c r="C161" s="3" t="s">
        <v>938</v>
      </c>
      <c r="D161" s="3" t="s">
        <v>954</v>
      </c>
    </row>
    <row r="162" spans="1:4" x14ac:dyDescent="0.2">
      <c r="A162" s="3" t="s">
        <v>268</v>
      </c>
      <c r="B162" s="3" t="s">
        <v>1</v>
      </c>
      <c r="C162" s="3" t="s">
        <v>938</v>
      </c>
      <c r="D162" s="3" t="s">
        <v>954</v>
      </c>
    </row>
    <row r="163" spans="1:4" x14ac:dyDescent="0.2">
      <c r="A163" s="3" t="s">
        <v>269</v>
      </c>
      <c r="B163" s="3" t="s">
        <v>1</v>
      </c>
      <c r="C163" s="3" t="s">
        <v>938</v>
      </c>
      <c r="D163" s="3" t="s">
        <v>954</v>
      </c>
    </row>
    <row r="164" spans="1:4" x14ac:dyDescent="0.2">
      <c r="A164" s="3" t="s">
        <v>270</v>
      </c>
      <c r="B164" s="3" t="s">
        <v>1</v>
      </c>
      <c r="C164" s="3" t="s">
        <v>938</v>
      </c>
      <c r="D164" s="3" t="s">
        <v>954</v>
      </c>
    </row>
    <row r="165" spans="1:4" x14ac:dyDescent="0.2">
      <c r="A165" s="3" t="s">
        <v>271</v>
      </c>
      <c r="B165" s="3" t="s">
        <v>1</v>
      </c>
      <c r="C165" s="3" t="s">
        <v>938</v>
      </c>
      <c r="D165" s="3" t="s">
        <v>954</v>
      </c>
    </row>
    <row r="166" spans="1:4" x14ac:dyDescent="0.2">
      <c r="A166" s="3" t="s">
        <v>272</v>
      </c>
      <c r="B166" s="3" t="s">
        <v>1</v>
      </c>
      <c r="C166" s="3" t="s">
        <v>938</v>
      </c>
      <c r="D166" s="3" t="s">
        <v>954</v>
      </c>
    </row>
    <row r="167" spans="1:4" x14ac:dyDescent="0.2">
      <c r="A167" s="3" t="s">
        <v>282</v>
      </c>
      <c r="B167" s="3" t="s">
        <v>1</v>
      </c>
      <c r="C167" s="3" t="s">
        <v>938</v>
      </c>
      <c r="D167" s="3" t="s">
        <v>954</v>
      </c>
    </row>
    <row r="168" spans="1:4" x14ac:dyDescent="0.2">
      <c r="A168" s="3" t="s">
        <v>283</v>
      </c>
      <c r="B168" s="3" t="s">
        <v>1</v>
      </c>
      <c r="C168" s="3" t="s">
        <v>938</v>
      </c>
      <c r="D168" s="3" t="s">
        <v>954</v>
      </c>
    </row>
    <row r="169" spans="1:4" x14ac:dyDescent="0.2">
      <c r="A169" s="3" t="s">
        <v>284</v>
      </c>
      <c r="B169" s="3" t="s">
        <v>1</v>
      </c>
      <c r="C169" s="3" t="s">
        <v>938</v>
      </c>
      <c r="D169" s="3" t="s">
        <v>954</v>
      </c>
    </row>
    <row r="170" spans="1:4" x14ac:dyDescent="0.2">
      <c r="A170" s="3" t="s">
        <v>293</v>
      </c>
      <c r="B170" s="3" t="s">
        <v>1</v>
      </c>
      <c r="C170" s="3" t="s">
        <v>938</v>
      </c>
      <c r="D170" s="3" t="s">
        <v>954</v>
      </c>
    </row>
    <row r="171" spans="1:4" x14ac:dyDescent="0.2">
      <c r="A171" s="3" t="s">
        <v>294</v>
      </c>
      <c r="B171" s="3" t="s">
        <v>1</v>
      </c>
      <c r="C171" s="3" t="s">
        <v>938</v>
      </c>
      <c r="D171" s="3" t="s">
        <v>954</v>
      </c>
    </row>
    <row r="172" spans="1:4" x14ac:dyDescent="0.2">
      <c r="A172" s="3" t="s">
        <v>300</v>
      </c>
      <c r="B172" s="3" t="s">
        <v>1</v>
      </c>
      <c r="C172" s="3" t="s">
        <v>938</v>
      </c>
      <c r="D172" s="3" t="s">
        <v>954</v>
      </c>
    </row>
    <row r="173" spans="1:4" x14ac:dyDescent="0.2">
      <c r="A173" s="3" t="s">
        <v>301</v>
      </c>
      <c r="B173" s="3" t="s">
        <v>1</v>
      </c>
      <c r="C173" s="3" t="s">
        <v>938</v>
      </c>
      <c r="D173" s="3" t="s">
        <v>954</v>
      </c>
    </row>
    <row r="174" spans="1:4" x14ac:dyDescent="0.2">
      <c r="A174" s="3" t="s">
        <v>302</v>
      </c>
      <c r="B174" s="3" t="s">
        <v>1</v>
      </c>
      <c r="C174" s="3" t="s">
        <v>938</v>
      </c>
      <c r="D174" s="3" t="s">
        <v>954</v>
      </c>
    </row>
    <row r="175" spans="1:4" x14ac:dyDescent="0.2">
      <c r="A175" s="3" t="s">
        <v>303</v>
      </c>
      <c r="B175" s="3" t="s">
        <v>1</v>
      </c>
      <c r="C175" s="3" t="s">
        <v>938</v>
      </c>
      <c r="D175" s="3" t="s">
        <v>954</v>
      </c>
    </row>
    <row r="176" spans="1:4" x14ac:dyDescent="0.2">
      <c r="A176" s="3" t="s">
        <v>304</v>
      </c>
      <c r="B176" s="3" t="s">
        <v>1</v>
      </c>
      <c r="C176" s="3" t="s">
        <v>938</v>
      </c>
      <c r="D176" s="3" t="s">
        <v>954</v>
      </c>
    </row>
    <row r="177" spans="1:4" x14ac:dyDescent="0.2">
      <c r="A177" s="3" t="s">
        <v>305</v>
      </c>
      <c r="B177" s="3" t="s">
        <v>1</v>
      </c>
      <c r="C177" s="3" t="s">
        <v>938</v>
      </c>
      <c r="D177" s="3" t="s">
        <v>954</v>
      </c>
    </row>
    <row r="178" spans="1:4" x14ac:dyDescent="0.2">
      <c r="A178" s="3" t="s">
        <v>306</v>
      </c>
      <c r="B178" s="3" t="s">
        <v>1</v>
      </c>
      <c r="C178" s="3" t="s">
        <v>938</v>
      </c>
      <c r="D178" s="3" t="s">
        <v>954</v>
      </c>
    </row>
    <row r="179" spans="1:4" x14ac:dyDescent="0.2">
      <c r="A179" s="3" t="s">
        <v>307</v>
      </c>
      <c r="B179" s="3" t="s">
        <v>1</v>
      </c>
      <c r="C179" s="3" t="s">
        <v>938</v>
      </c>
      <c r="D179" s="3" t="s">
        <v>954</v>
      </c>
    </row>
    <row r="180" spans="1:4" x14ac:dyDescent="0.2">
      <c r="A180" s="3" t="s">
        <v>312</v>
      </c>
      <c r="B180" s="3" t="s">
        <v>1</v>
      </c>
      <c r="C180" s="3" t="s">
        <v>938</v>
      </c>
      <c r="D180" s="3" t="s">
        <v>954</v>
      </c>
    </row>
    <row r="181" spans="1:4" x14ac:dyDescent="0.2">
      <c r="A181" s="3" t="s">
        <v>330</v>
      </c>
      <c r="B181" s="3" t="s">
        <v>1</v>
      </c>
      <c r="C181" s="3" t="s">
        <v>938</v>
      </c>
      <c r="D181" s="3" t="s">
        <v>954</v>
      </c>
    </row>
    <row r="182" spans="1:4" x14ac:dyDescent="0.2">
      <c r="A182" s="3" t="s">
        <v>348</v>
      </c>
      <c r="B182" s="3" t="s">
        <v>1</v>
      </c>
      <c r="C182" s="3" t="s">
        <v>938</v>
      </c>
      <c r="D182" s="3" t="s">
        <v>954</v>
      </c>
    </row>
    <row r="183" spans="1:4" x14ac:dyDescent="0.2">
      <c r="A183" s="3" t="s">
        <v>349</v>
      </c>
      <c r="B183" s="3" t="s">
        <v>1</v>
      </c>
      <c r="C183" s="3" t="s">
        <v>938</v>
      </c>
      <c r="D183" s="3" t="s">
        <v>954</v>
      </c>
    </row>
    <row r="184" spans="1:4" x14ac:dyDescent="0.2">
      <c r="A184" s="3" t="s">
        <v>369</v>
      </c>
      <c r="B184" s="3" t="s">
        <v>1</v>
      </c>
      <c r="C184" s="3" t="s">
        <v>938</v>
      </c>
      <c r="D184" s="3" t="s">
        <v>954</v>
      </c>
    </row>
    <row r="185" spans="1:4" x14ac:dyDescent="0.2">
      <c r="A185" s="3" t="s">
        <v>387</v>
      </c>
      <c r="B185" s="3" t="s">
        <v>1</v>
      </c>
      <c r="C185" s="3" t="s">
        <v>938</v>
      </c>
      <c r="D185" s="3" t="s">
        <v>954</v>
      </c>
    </row>
    <row r="186" spans="1:4" x14ac:dyDescent="0.2">
      <c r="A186" s="3" t="s">
        <v>388</v>
      </c>
      <c r="B186" s="3" t="s">
        <v>1</v>
      </c>
      <c r="C186" s="3" t="s">
        <v>938</v>
      </c>
      <c r="D186" s="3" t="s">
        <v>954</v>
      </c>
    </row>
    <row r="187" spans="1:4" x14ac:dyDescent="0.2">
      <c r="A187" s="3" t="s">
        <v>389</v>
      </c>
      <c r="B187" s="3" t="s">
        <v>1</v>
      </c>
      <c r="C187" s="3" t="s">
        <v>938</v>
      </c>
      <c r="D187" s="3" t="s">
        <v>954</v>
      </c>
    </row>
    <row r="188" spans="1:4" x14ac:dyDescent="0.2">
      <c r="A188" s="3" t="s">
        <v>390</v>
      </c>
      <c r="B188" s="3" t="s">
        <v>1</v>
      </c>
      <c r="C188" s="3" t="s">
        <v>938</v>
      </c>
      <c r="D188" s="3" t="s">
        <v>954</v>
      </c>
    </row>
    <row r="189" spans="1:4" x14ac:dyDescent="0.2">
      <c r="A189" s="3" t="s">
        <v>391</v>
      </c>
      <c r="B189" s="3" t="s">
        <v>1</v>
      </c>
      <c r="C189" s="3" t="s">
        <v>938</v>
      </c>
      <c r="D189" s="3" t="s">
        <v>954</v>
      </c>
    </row>
    <row r="190" spans="1:4" x14ac:dyDescent="0.2">
      <c r="A190" s="3" t="s">
        <v>392</v>
      </c>
      <c r="B190" s="3" t="s">
        <v>1</v>
      </c>
      <c r="C190" s="3" t="s">
        <v>938</v>
      </c>
      <c r="D190" s="3" t="s">
        <v>954</v>
      </c>
    </row>
    <row r="191" spans="1:4" x14ac:dyDescent="0.2">
      <c r="A191" s="3" t="s">
        <v>108</v>
      </c>
      <c r="B191" s="3" t="s">
        <v>27</v>
      </c>
      <c r="C191" s="3" t="s">
        <v>938</v>
      </c>
      <c r="D191" s="3" t="s">
        <v>967</v>
      </c>
    </row>
    <row r="192" spans="1:4" x14ac:dyDescent="0.2">
      <c r="A192" s="3" t="s">
        <v>109</v>
      </c>
      <c r="B192" s="3" t="s">
        <v>27</v>
      </c>
      <c r="C192" s="3" t="s">
        <v>938</v>
      </c>
      <c r="D192" s="3" t="s">
        <v>967</v>
      </c>
    </row>
    <row r="193" spans="1:4" x14ac:dyDescent="0.2">
      <c r="A193" s="3" t="s">
        <v>110</v>
      </c>
      <c r="B193" s="3" t="s">
        <v>27</v>
      </c>
      <c r="C193" s="3" t="s">
        <v>938</v>
      </c>
      <c r="D193" s="3" t="s">
        <v>967</v>
      </c>
    </row>
    <row r="194" spans="1:4" x14ac:dyDescent="0.2">
      <c r="A194" s="3" t="s">
        <v>111</v>
      </c>
      <c r="B194" s="3" t="s">
        <v>27</v>
      </c>
      <c r="C194" s="3" t="s">
        <v>938</v>
      </c>
      <c r="D194" s="3" t="s">
        <v>967</v>
      </c>
    </row>
    <row r="195" spans="1:4" x14ac:dyDescent="0.2">
      <c r="A195" s="3" t="s">
        <v>112</v>
      </c>
      <c r="B195" s="3" t="s">
        <v>27</v>
      </c>
      <c r="C195" s="3" t="s">
        <v>938</v>
      </c>
      <c r="D195" s="3" t="s">
        <v>967</v>
      </c>
    </row>
    <row r="196" spans="1:4" x14ac:dyDescent="0.2">
      <c r="A196" s="3" t="s">
        <v>113</v>
      </c>
      <c r="B196" s="3" t="s">
        <v>27</v>
      </c>
      <c r="C196" s="3" t="s">
        <v>938</v>
      </c>
      <c r="D196" s="3" t="s">
        <v>967</v>
      </c>
    </row>
    <row r="197" spans="1:4" x14ac:dyDescent="0.2">
      <c r="A197" s="3" t="s">
        <v>121</v>
      </c>
      <c r="B197" s="3" t="s">
        <v>27</v>
      </c>
      <c r="C197" s="3" t="s">
        <v>938</v>
      </c>
      <c r="D197" s="3" t="s">
        <v>967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942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942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942</v>
      </c>
    </row>
    <row r="201" spans="1:4" x14ac:dyDescent="0.2">
      <c r="A201" s="3" t="s">
        <v>38</v>
      </c>
      <c r="B201" s="3" t="s">
        <v>943</v>
      </c>
      <c r="C201" s="3" t="s">
        <v>17</v>
      </c>
      <c r="D201" s="3" t="s">
        <v>951</v>
      </c>
    </row>
    <row r="202" spans="1:4" x14ac:dyDescent="0.2">
      <c r="A202" s="3" t="s">
        <v>402</v>
      </c>
      <c r="B202" s="3" t="s">
        <v>943</v>
      </c>
      <c r="C202" s="3" t="s">
        <v>17</v>
      </c>
      <c r="D202" s="3" t="s">
        <v>951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952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952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952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952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952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953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953</v>
      </c>
    </row>
    <row r="210" spans="1:4" x14ac:dyDescent="0.2">
      <c r="A210" s="3" t="s">
        <v>235</v>
      </c>
      <c r="B210" s="3" t="s">
        <v>1</v>
      </c>
      <c r="C210" s="3" t="s">
        <v>968</v>
      </c>
      <c r="D210" s="3" t="s">
        <v>970</v>
      </c>
    </row>
    <row r="211" spans="1:4" x14ac:dyDescent="0.2">
      <c r="A211" s="3" t="s">
        <v>200</v>
      </c>
      <c r="B211" s="3" t="s">
        <v>1</v>
      </c>
      <c r="C211" s="3" t="s">
        <v>17</v>
      </c>
      <c r="D211" s="3" t="s">
        <v>956</v>
      </c>
    </row>
    <row r="212" spans="1:4" x14ac:dyDescent="0.2">
      <c r="A212" s="3" t="s">
        <v>201</v>
      </c>
      <c r="B212" s="3" t="s">
        <v>1</v>
      </c>
      <c r="C212" s="3" t="s">
        <v>17</v>
      </c>
      <c r="D212" s="3" t="s">
        <v>956</v>
      </c>
    </row>
    <row r="213" spans="1:4" x14ac:dyDescent="0.2">
      <c r="A213" s="3" t="s">
        <v>202</v>
      </c>
      <c r="B213" s="3" t="s">
        <v>1</v>
      </c>
      <c r="C213" s="3" t="s">
        <v>17</v>
      </c>
      <c r="D213" s="3" t="s">
        <v>956</v>
      </c>
    </row>
    <row r="214" spans="1:4" x14ac:dyDescent="0.2">
      <c r="A214" s="3" t="s">
        <v>1142</v>
      </c>
      <c r="B214" s="3" t="s">
        <v>1</v>
      </c>
      <c r="C214" s="3" t="s">
        <v>19</v>
      </c>
      <c r="D214" s="3" t="s">
        <v>955</v>
      </c>
    </row>
    <row r="215" spans="1:4" x14ac:dyDescent="0.2">
      <c r="A215" s="3" t="s">
        <v>197</v>
      </c>
      <c r="B215" s="3" t="s">
        <v>1</v>
      </c>
      <c r="C215" s="3" t="s">
        <v>19</v>
      </c>
      <c r="D215" s="3" t="s">
        <v>955</v>
      </c>
    </row>
    <row r="216" spans="1:4" x14ac:dyDescent="0.2">
      <c r="A216" s="3" t="s">
        <v>198</v>
      </c>
      <c r="B216" s="3" t="s">
        <v>1</v>
      </c>
      <c r="C216" s="3" t="s">
        <v>19</v>
      </c>
      <c r="D216" s="3" t="s">
        <v>955</v>
      </c>
    </row>
    <row r="217" spans="1:4" x14ac:dyDescent="0.2">
      <c r="A217" s="3" t="s">
        <v>199</v>
      </c>
      <c r="B217" s="3" t="s">
        <v>1</v>
      </c>
      <c r="C217" s="3" t="s">
        <v>19</v>
      </c>
      <c r="D217" s="3" t="s">
        <v>955</v>
      </c>
    </row>
    <row r="218" spans="1:4" x14ac:dyDescent="0.2">
      <c r="A218" s="3" t="s">
        <v>257</v>
      </c>
      <c r="B218" s="3" t="s">
        <v>1</v>
      </c>
      <c r="C218" s="3" t="s">
        <v>19</v>
      </c>
      <c r="D218" s="3" t="s">
        <v>955</v>
      </c>
    </row>
    <row r="219" spans="1:4" x14ac:dyDescent="0.2">
      <c r="A219" s="3" t="s">
        <v>440</v>
      </c>
      <c r="B219" s="3" t="s">
        <v>28</v>
      </c>
      <c r="C219" s="3" t="s">
        <v>29</v>
      </c>
      <c r="D219" s="3" t="s">
        <v>958</v>
      </c>
    </row>
    <row r="220" spans="1:4" x14ac:dyDescent="0.2">
      <c r="A220" s="3" t="s">
        <v>441</v>
      </c>
      <c r="B220" s="3" t="s">
        <v>28</v>
      </c>
      <c r="C220" s="3" t="s">
        <v>29</v>
      </c>
      <c r="D220" s="3" t="s">
        <v>958</v>
      </c>
    </row>
    <row r="221" spans="1:4" x14ac:dyDescent="0.2">
      <c r="A221" s="3" t="s">
        <v>442</v>
      </c>
      <c r="B221" s="3" t="s">
        <v>28</v>
      </c>
      <c r="C221" s="3" t="s">
        <v>29</v>
      </c>
      <c r="D221" s="3" t="s">
        <v>958</v>
      </c>
    </row>
    <row r="222" spans="1:4" x14ac:dyDescent="0.2">
      <c r="A222" s="3" t="s">
        <v>443</v>
      </c>
      <c r="B222" s="3" t="s">
        <v>28</v>
      </c>
      <c r="C222" s="3" t="s">
        <v>29</v>
      </c>
      <c r="D222" s="3" t="s">
        <v>958</v>
      </c>
    </row>
    <row r="223" spans="1:4" x14ac:dyDescent="0.2">
      <c r="A223" s="3" t="s">
        <v>444</v>
      </c>
      <c r="B223" s="3" t="s">
        <v>28</v>
      </c>
      <c r="C223" s="3" t="s">
        <v>29</v>
      </c>
      <c r="D223" s="3" t="s">
        <v>958</v>
      </c>
    </row>
    <row r="224" spans="1:4" x14ac:dyDescent="0.2">
      <c r="A224" s="3" t="s">
        <v>445</v>
      </c>
      <c r="B224" s="3" t="s">
        <v>28</v>
      </c>
      <c r="C224" s="3" t="s">
        <v>29</v>
      </c>
      <c r="D224" s="3" t="s">
        <v>958</v>
      </c>
    </row>
    <row r="225" spans="1:4" x14ac:dyDescent="0.2">
      <c r="A225" s="3" t="s">
        <v>446</v>
      </c>
      <c r="B225" s="3" t="s">
        <v>28</v>
      </c>
      <c r="C225" s="3" t="s">
        <v>29</v>
      </c>
      <c r="D225" s="3" t="s">
        <v>958</v>
      </c>
    </row>
    <row r="226" spans="1:4" x14ac:dyDescent="0.2">
      <c r="A226" s="3" t="s">
        <v>447</v>
      </c>
      <c r="B226" s="3" t="s">
        <v>28</v>
      </c>
      <c r="C226" s="3" t="s">
        <v>29</v>
      </c>
      <c r="D226" s="3" t="s">
        <v>958</v>
      </c>
    </row>
    <row r="227" spans="1:4" x14ac:dyDescent="0.2">
      <c r="A227" s="3" t="s">
        <v>448</v>
      </c>
      <c r="B227" s="3" t="s">
        <v>28</v>
      </c>
      <c r="C227" s="3" t="s">
        <v>29</v>
      </c>
      <c r="D227" s="3" t="s">
        <v>958</v>
      </c>
    </row>
    <row r="228" spans="1:4" x14ac:dyDescent="0.2">
      <c r="A228" s="3" t="s">
        <v>449</v>
      </c>
      <c r="B228" s="3" t="s">
        <v>28</v>
      </c>
      <c r="C228" s="3" t="s">
        <v>29</v>
      </c>
      <c r="D228" s="3" t="s">
        <v>958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958</v>
      </c>
    </row>
    <row r="230" spans="1:4" x14ac:dyDescent="0.2">
      <c r="A230" s="3" t="s">
        <v>1588</v>
      </c>
      <c r="B230" s="3" t="s">
        <v>28</v>
      </c>
      <c r="C230" s="3" t="s">
        <v>29</v>
      </c>
      <c r="D230" s="3" t="s">
        <v>958</v>
      </c>
    </row>
    <row r="231" spans="1:4" x14ac:dyDescent="0.2">
      <c r="A231" s="121" t="s">
        <v>1489</v>
      </c>
      <c r="B231" s="3" t="s">
        <v>28</v>
      </c>
      <c r="C231" s="3" t="s">
        <v>29</v>
      </c>
      <c r="D231" s="3" t="s">
        <v>958</v>
      </c>
    </row>
    <row r="232" spans="1:4" x14ac:dyDescent="0.2">
      <c r="A232" s="3" t="s">
        <v>106</v>
      </c>
      <c r="B232" s="3" t="s">
        <v>27</v>
      </c>
      <c r="C232" s="3" t="s">
        <v>960</v>
      </c>
      <c r="D232" s="3" t="s">
        <v>961</v>
      </c>
    </row>
    <row r="233" spans="1:4" x14ac:dyDescent="0.2">
      <c r="A233" s="3" t="s">
        <v>107</v>
      </c>
      <c r="B233" s="3" t="s">
        <v>27</v>
      </c>
      <c r="C233" s="3" t="s">
        <v>960</v>
      </c>
      <c r="D233" s="3" t="s">
        <v>961</v>
      </c>
    </row>
    <row r="234" spans="1:4" x14ac:dyDescent="0.2">
      <c r="A234" s="3" t="s">
        <v>204</v>
      </c>
      <c r="B234" s="3" t="s">
        <v>1</v>
      </c>
      <c r="C234" s="3" t="s">
        <v>17</v>
      </c>
      <c r="D234" s="3" t="s">
        <v>962</v>
      </c>
    </row>
    <row r="235" spans="1:4" x14ac:dyDescent="0.2">
      <c r="A235" s="3" t="s">
        <v>205</v>
      </c>
      <c r="B235" s="3" t="s">
        <v>1</v>
      </c>
      <c r="C235" s="3" t="s">
        <v>17</v>
      </c>
      <c r="D235" s="3" t="s">
        <v>962</v>
      </c>
    </row>
    <row r="236" spans="1:4" x14ac:dyDescent="0.2">
      <c r="A236" s="3" t="s">
        <v>206</v>
      </c>
      <c r="B236" s="3" t="s">
        <v>1</v>
      </c>
      <c r="C236" s="3" t="s">
        <v>17</v>
      </c>
      <c r="D236" s="3" t="s">
        <v>962</v>
      </c>
    </row>
    <row r="237" spans="1:4" x14ac:dyDescent="0.2">
      <c r="A237" s="3" t="s">
        <v>208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403</v>
      </c>
      <c r="B238" s="3" t="s">
        <v>943</v>
      </c>
      <c r="C238" s="3" t="s">
        <v>17</v>
      </c>
      <c r="D238" s="3" t="s">
        <v>963</v>
      </c>
    </row>
    <row r="239" spans="1:4" x14ac:dyDescent="0.2">
      <c r="A239" s="3" t="s">
        <v>404</v>
      </c>
      <c r="B239" s="3" t="s">
        <v>943</v>
      </c>
      <c r="C239" s="3" t="s">
        <v>17</v>
      </c>
      <c r="D239" s="3" t="s">
        <v>963</v>
      </c>
    </row>
    <row r="240" spans="1:4" x14ac:dyDescent="0.2">
      <c r="A240" s="3" t="s">
        <v>405</v>
      </c>
      <c r="B240" s="3" t="s">
        <v>943</v>
      </c>
      <c r="C240" s="3" t="s">
        <v>17</v>
      </c>
      <c r="D240" s="3" t="s">
        <v>963</v>
      </c>
    </row>
    <row r="241" spans="1:4" x14ac:dyDescent="0.2">
      <c r="A241" s="3" t="s">
        <v>406</v>
      </c>
      <c r="B241" s="3" t="s">
        <v>943</v>
      </c>
      <c r="C241" s="3" t="s">
        <v>17</v>
      </c>
      <c r="D241" s="3" t="s">
        <v>963</v>
      </c>
    </row>
    <row r="242" spans="1:4" x14ac:dyDescent="0.2">
      <c r="A242" s="3" t="s">
        <v>32</v>
      </c>
      <c r="B242" s="3" t="s">
        <v>943</v>
      </c>
      <c r="C242" s="3" t="s">
        <v>17</v>
      </c>
      <c r="D242" s="3" t="s">
        <v>963</v>
      </c>
    </row>
    <row r="243" spans="1:4" x14ac:dyDescent="0.2">
      <c r="A243" s="3" t="s">
        <v>410</v>
      </c>
      <c r="B243" s="3" t="s">
        <v>943</v>
      </c>
      <c r="C243" s="3" t="s">
        <v>17</v>
      </c>
      <c r="D243" s="3" t="s">
        <v>963</v>
      </c>
    </row>
    <row r="244" spans="1:4" x14ac:dyDescent="0.2">
      <c r="A244" s="3" t="s">
        <v>1414</v>
      </c>
      <c r="B244" s="3" t="s">
        <v>943</v>
      </c>
      <c r="C244" s="3" t="s">
        <v>17</v>
      </c>
      <c r="D244" s="3" t="s">
        <v>963</v>
      </c>
    </row>
    <row r="245" spans="1:4" x14ac:dyDescent="0.2">
      <c r="A245" s="3" t="s">
        <v>203</v>
      </c>
      <c r="B245" s="3" t="s">
        <v>1</v>
      </c>
      <c r="C245" s="3" t="s">
        <v>29</v>
      </c>
      <c r="D245" s="3" t="s">
        <v>957</v>
      </c>
    </row>
    <row r="246" spans="1:4" x14ac:dyDescent="0.2">
      <c r="A246" s="3" t="s">
        <v>290</v>
      </c>
      <c r="B246" s="3" t="s">
        <v>1</v>
      </c>
      <c r="C246" s="3" t="s">
        <v>29</v>
      </c>
      <c r="D246" s="3" t="s">
        <v>957</v>
      </c>
    </row>
    <row r="247" spans="1:4" x14ac:dyDescent="0.2">
      <c r="A247" s="3" t="s">
        <v>394</v>
      </c>
      <c r="B247" s="3" t="s">
        <v>1</v>
      </c>
      <c r="C247" s="3" t="s">
        <v>29</v>
      </c>
      <c r="D247" s="3" t="s">
        <v>957</v>
      </c>
    </row>
    <row r="248" spans="1:4" x14ac:dyDescent="0.2">
      <c r="A248" s="3" t="s">
        <v>209</v>
      </c>
      <c r="B248" s="3" t="s">
        <v>1</v>
      </c>
      <c r="C248" s="3" t="s">
        <v>17</v>
      </c>
      <c r="D248" s="3" t="s">
        <v>965</v>
      </c>
    </row>
    <row r="249" spans="1:4" x14ac:dyDescent="0.2">
      <c r="A249" s="3" t="s">
        <v>210</v>
      </c>
      <c r="B249" s="3" t="s">
        <v>1</v>
      </c>
      <c r="C249" s="3" t="s">
        <v>17</v>
      </c>
      <c r="D249" s="3" t="s">
        <v>965</v>
      </c>
    </row>
    <row r="250" spans="1:4" x14ac:dyDescent="0.2">
      <c r="A250" s="3" t="s">
        <v>212</v>
      </c>
      <c r="B250" s="3" t="s">
        <v>1</v>
      </c>
      <c r="C250" s="3" t="s">
        <v>19</v>
      </c>
      <c r="D250" s="3" t="s">
        <v>966</v>
      </c>
    </row>
    <row r="251" spans="1:4" x14ac:dyDescent="0.2">
      <c r="A251" s="3" t="s">
        <v>240</v>
      </c>
      <c r="B251" s="3" t="s">
        <v>1</v>
      </c>
      <c r="C251" s="3" t="s">
        <v>19</v>
      </c>
      <c r="D251" s="3" t="s">
        <v>966</v>
      </c>
    </row>
    <row r="252" spans="1:4" x14ac:dyDescent="0.2">
      <c r="A252" s="3" t="s">
        <v>260</v>
      </c>
      <c r="B252" s="3" t="s">
        <v>1</v>
      </c>
      <c r="C252" s="3" t="s">
        <v>19</v>
      </c>
      <c r="D252" s="3" t="s">
        <v>966</v>
      </c>
    </row>
    <row r="253" spans="1:4" x14ac:dyDescent="0.2">
      <c r="A253" s="3" t="s">
        <v>277</v>
      </c>
      <c r="B253" s="3" t="s">
        <v>1</v>
      </c>
      <c r="C253" s="3" t="s">
        <v>2</v>
      </c>
      <c r="D253" s="3" t="s">
        <v>974</v>
      </c>
    </row>
    <row r="254" spans="1:4" x14ac:dyDescent="0.2">
      <c r="A254" s="3" t="s">
        <v>278</v>
      </c>
      <c r="B254" s="3" t="s">
        <v>1</v>
      </c>
      <c r="C254" s="3" t="s">
        <v>2</v>
      </c>
      <c r="D254" s="3" t="s">
        <v>974</v>
      </c>
    </row>
    <row r="255" spans="1:4" x14ac:dyDescent="0.2">
      <c r="A255" s="3" t="s">
        <v>279</v>
      </c>
      <c r="B255" s="3" t="s">
        <v>1</v>
      </c>
      <c r="C255" s="3" t="s">
        <v>2</v>
      </c>
      <c r="D255" s="3" t="s">
        <v>974</v>
      </c>
    </row>
    <row r="256" spans="1:4" x14ac:dyDescent="0.2">
      <c r="A256" s="3" t="s">
        <v>280</v>
      </c>
      <c r="B256" s="3" t="s">
        <v>1</v>
      </c>
      <c r="C256" s="3" t="s">
        <v>2</v>
      </c>
      <c r="D256" s="3" t="s">
        <v>974</v>
      </c>
    </row>
    <row r="257" spans="1:4" x14ac:dyDescent="0.2">
      <c r="A257" s="3" t="s">
        <v>274</v>
      </c>
      <c r="B257" s="3" t="s">
        <v>1</v>
      </c>
      <c r="C257" s="3" t="s">
        <v>972</v>
      </c>
      <c r="D257" s="3" t="s">
        <v>973</v>
      </c>
    </row>
    <row r="258" spans="1:4" x14ac:dyDescent="0.2">
      <c r="A258" s="3" t="s">
        <v>275</v>
      </c>
      <c r="B258" s="3" t="s">
        <v>1</v>
      </c>
      <c r="C258" s="3" t="s">
        <v>972</v>
      </c>
      <c r="D258" s="3" t="s">
        <v>973</v>
      </c>
    </row>
    <row r="259" spans="1:4" x14ac:dyDescent="0.2">
      <c r="A259" s="3" t="s">
        <v>276</v>
      </c>
      <c r="B259" s="3" t="s">
        <v>1</v>
      </c>
      <c r="C259" s="3" t="s">
        <v>972</v>
      </c>
      <c r="D259" s="3" t="s">
        <v>973</v>
      </c>
    </row>
    <row r="260" spans="1:4" x14ac:dyDescent="0.2">
      <c r="A260" s="3" t="s">
        <v>281</v>
      </c>
      <c r="B260" s="3" t="s">
        <v>1</v>
      </c>
      <c r="C260" s="3" t="s">
        <v>17</v>
      </c>
      <c r="D260" s="3" t="s">
        <v>975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948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948</v>
      </c>
    </row>
    <row r="263" spans="1:4" x14ac:dyDescent="0.2">
      <c r="A263" s="3" t="s">
        <v>291</v>
      </c>
      <c r="B263" s="3" t="s">
        <v>1</v>
      </c>
      <c r="C263" s="3" t="s">
        <v>19</v>
      </c>
      <c r="D263" s="3" t="s">
        <v>948</v>
      </c>
    </row>
    <row r="264" spans="1:4" x14ac:dyDescent="0.2">
      <c r="A264" s="3" t="s">
        <v>292</v>
      </c>
      <c r="B264" s="3" t="s">
        <v>1</v>
      </c>
      <c r="C264" s="3" t="s">
        <v>19</v>
      </c>
      <c r="D264" s="3" t="s">
        <v>948</v>
      </c>
    </row>
    <row r="265" spans="1:4" x14ac:dyDescent="0.2">
      <c r="A265" s="3" t="s">
        <v>341</v>
      </c>
      <c r="B265" s="3" t="s">
        <v>1</v>
      </c>
      <c r="C265" s="3" t="s">
        <v>19</v>
      </c>
      <c r="D265" s="3" t="s">
        <v>948</v>
      </c>
    </row>
    <row r="266" spans="1:4" x14ac:dyDescent="0.2">
      <c r="A266" s="3" t="s">
        <v>1445</v>
      </c>
      <c r="B266" s="3" t="s">
        <v>1</v>
      </c>
      <c r="C266" s="3" t="s">
        <v>19</v>
      </c>
      <c r="D266" s="3" t="s">
        <v>948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976</v>
      </c>
    </row>
    <row r="268" spans="1:4" x14ac:dyDescent="0.2">
      <c r="A268" s="3" t="s">
        <v>285</v>
      </c>
      <c r="B268" s="3" t="s">
        <v>1</v>
      </c>
      <c r="C268" s="3" t="s">
        <v>19</v>
      </c>
      <c r="D268" s="3" t="s">
        <v>976</v>
      </c>
    </row>
    <row r="269" spans="1:4" x14ac:dyDescent="0.2">
      <c r="A269" s="3" t="s">
        <v>286</v>
      </c>
      <c r="B269" s="3" t="s">
        <v>1</v>
      </c>
      <c r="C269" s="3" t="s">
        <v>19</v>
      </c>
      <c r="D269" s="3" t="s">
        <v>976</v>
      </c>
    </row>
    <row r="270" spans="1:4" x14ac:dyDescent="0.2">
      <c r="A270" s="3" t="s">
        <v>287</v>
      </c>
      <c r="B270" s="3" t="s">
        <v>1</v>
      </c>
      <c r="C270" s="3" t="s">
        <v>19</v>
      </c>
      <c r="D270" s="3" t="s">
        <v>976</v>
      </c>
    </row>
    <row r="271" spans="1:4" x14ac:dyDescent="0.2">
      <c r="A271" s="3" t="s">
        <v>288</v>
      </c>
      <c r="B271" s="3" t="s">
        <v>1</v>
      </c>
      <c r="C271" s="3" t="s">
        <v>19</v>
      </c>
      <c r="D271" s="3" t="s">
        <v>976</v>
      </c>
    </row>
    <row r="272" spans="1:4" x14ac:dyDescent="0.2">
      <c r="A272" s="3" t="s">
        <v>289</v>
      </c>
      <c r="B272" s="3" t="s">
        <v>1</v>
      </c>
      <c r="C272" s="3" t="s">
        <v>19</v>
      </c>
      <c r="D272" s="3" t="s">
        <v>976</v>
      </c>
    </row>
    <row r="273" spans="1:4" x14ac:dyDescent="0.2">
      <c r="A273" s="3" t="s">
        <v>1434</v>
      </c>
      <c r="B273" s="3" t="s">
        <v>1</v>
      </c>
      <c r="C273" s="3" t="s">
        <v>19</v>
      </c>
      <c r="D273" s="3" t="s">
        <v>976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1002</v>
      </c>
    </row>
    <row r="275" spans="1:4" x14ac:dyDescent="0.2">
      <c r="A275" s="3" t="s">
        <v>376</v>
      </c>
      <c r="B275" s="3" t="s">
        <v>1</v>
      </c>
      <c r="C275" s="3" t="s">
        <v>19</v>
      </c>
      <c r="D275" s="3" t="s">
        <v>1002</v>
      </c>
    </row>
    <row r="276" spans="1:4" x14ac:dyDescent="0.2">
      <c r="A276" s="3" t="s">
        <v>377</v>
      </c>
      <c r="B276" s="3" t="s">
        <v>1</v>
      </c>
      <c r="C276" s="3" t="s">
        <v>19</v>
      </c>
      <c r="D276" s="3" t="s">
        <v>1002</v>
      </c>
    </row>
    <row r="277" spans="1:4" x14ac:dyDescent="0.2">
      <c r="A277" s="3" t="s">
        <v>378</v>
      </c>
      <c r="B277" s="3" t="s">
        <v>1</v>
      </c>
      <c r="C277" s="3" t="s">
        <v>19</v>
      </c>
      <c r="D277" s="3" t="s">
        <v>1002</v>
      </c>
    </row>
    <row r="278" spans="1:4" x14ac:dyDescent="0.2">
      <c r="A278" s="3" t="s">
        <v>379</v>
      </c>
      <c r="B278" s="3" t="s">
        <v>1</v>
      </c>
      <c r="C278" s="3" t="s">
        <v>19</v>
      </c>
      <c r="D278" s="3" t="s">
        <v>1002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977</v>
      </c>
    </row>
    <row r="280" spans="1:4" x14ac:dyDescent="0.2">
      <c r="A280" s="3" t="s">
        <v>299</v>
      </c>
      <c r="B280" s="3" t="s">
        <v>1</v>
      </c>
      <c r="C280" s="3" t="s">
        <v>17</v>
      </c>
      <c r="D280" s="3" t="s">
        <v>977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933</v>
      </c>
    </row>
    <row r="282" spans="1:4" x14ac:dyDescent="0.2">
      <c r="A282" s="3" t="s">
        <v>295</v>
      </c>
      <c r="B282" s="3" t="s">
        <v>1</v>
      </c>
      <c r="C282" s="3" t="s">
        <v>17</v>
      </c>
      <c r="D282" s="3" t="s">
        <v>933</v>
      </c>
    </row>
    <row r="283" spans="1:4" x14ac:dyDescent="0.2">
      <c r="A283" s="3" t="s">
        <v>296</v>
      </c>
      <c r="B283" s="3" t="s">
        <v>1</v>
      </c>
      <c r="C283" s="3" t="s">
        <v>17</v>
      </c>
      <c r="D283" s="3" t="s">
        <v>933</v>
      </c>
    </row>
    <row r="284" spans="1:4" x14ac:dyDescent="0.2">
      <c r="A284" s="3" t="s">
        <v>297</v>
      </c>
      <c r="B284" s="3" t="s">
        <v>1</v>
      </c>
      <c r="C284" s="3" t="s">
        <v>17</v>
      </c>
      <c r="D284" s="3" t="s">
        <v>933</v>
      </c>
    </row>
    <row r="285" spans="1:4" x14ac:dyDescent="0.2">
      <c r="A285" s="3" t="s">
        <v>308</v>
      </c>
      <c r="B285" s="3" t="s">
        <v>1</v>
      </c>
      <c r="C285" s="3" t="s">
        <v>17</v>
      </c>
      <c r="D285" s="3" t="s">
        <v>933</v>
      </c>
    </row>
    <row r="286" spans="1:4" x14ac:dyDescent="0.2">
      <c r="A286" s="3" t="s">
        <v>310</v>
      </c>
      <c r="B286" s="3" t="s">
        <v>1</v>
      </c>
      <c r="C286" s="3" t="s">
        <v>979</v>
      </c>
      <c r="D286" s="3" t="s">
        <v>979</v>
      </c>
    </row>
    <row r="287" spans="1:4" x14ac:dyDescent="0.2">
      <c r="A287" s="3" t="s">
        <v>311</v>
      </c>
      <c r="B287" s="3" t="s">
        <v>1</v>
      </c>
      <c r="C287" s="3" t="s">
        <v>979</v>
      </c>
      <c r="D287" s="3" t="s">
        <v>979</v>
      </c>
    </row>
    <row r="288" spans="1:4" x14ac:dyDescent="0.2">
      <c r="A288" s="3" t="s">
        <v>40</v>
      </c>
      <c r="B288" s="3" t="s">
        <v>27</v>
      </c>
      <c r="C288" s="3" t="s">
        <v>960</v>
      </c>
      <c r="D288" s="3" t="s">
        <v>971</v>
      </c>
    </row>
    <row r="289" spans="1:4" x14ac:dyDescent="0.2">
      <c r="A289" s="3" t="s">
        <v>115</v>
      </c>
      <c r="B289" s="3" t="s">
        <v>27</v>
      </c>
      <c r="C289" s="3" t="s">
        <v>960</v>
      </c>
      <c r="D289" s="3" t="s">
        <v>971</v>
      </c>
    </row>
    <row r="290" spans="1:4" x14ac:dyDescent="0.2">
      <c r="A290" s="3" t="s">
        <v>116</v>
      </c>
      <c r="B290" s="3" t="s">
        <v>27</v>
      </c>
      <c r="C290" s="3" t="s">
        <v>960</v>
      </c>
      <c r="D290" s="3" t="s">
        <v>971</v>
      </c>
    </row>
    <row r="291" spans="1:4" x14ac:dyDescent="0.2">
      <c r="A291" s="3" t="s">
        <v>117</v>
      </c>
      <c r="B291" s="3" t="s">
        <v>27</v>
      </c>
      <c r="C291" s="3" t="s">
        <v>960</v>
      </c>
      <c r="D291" s="3" t="s">
        <v>971</v>
      </c>
    </row>
    <row r="292" spans="1:4" x14ac:dyDescent="0.2">
      <c r="A292" s="3" t="s">
        <v>41</v>
      </c>
      <c r="B292" s="3" t="s">
        <v>27</v>
      </c>
      <c r="C292" s="3" t="s">
        <v>960</v>
      </c>
      <c r="D292" s="3" t="s">
        <v>971</v>
      </c>
    </row>
    <row r="293" spans="1:4" x14ac:dyDescent="0.2">
      <c r="A293" s="3" t="s">
        <v>118</v>
      </c>
      <c r="B293" s="3" t="s">
        <v>27</v>
      </c>
      <c r="C293" s="3" t="s">
        <v>960</v>
      </c>
      <c r="D293" s="3" t="s">
        <v>971</v>
      </c>
    </row>
    <row r="294" spans="1:4" x14ac:dyDescent="0.2">
      <c r="A294" s="3" t="s">
        <v>119</v>
      </c>
      <c r="B294" s="3" t="s">
        <v>27</v>
      </c>
      <c r="C294" s="3" t="s">
        <v>960</v>
      </c>
      <c r="D294" s="3" t="s">
        <v>971</v>
      </c>
    </row>
    <row r="295" spans="1:4" x14ac:dyDescent="0.2">
      <c r="A295" s="3" t="s">
        <v>120</v>
      </c>
      <c r="B295" s="3" t="s">
        <v>27</v>
      </c>
      <c r="C295" s="3" t="s">
        <v>960</v>
      </c>
      <c r="D295" s="3" t="s">
        <v>971</v>
      </c>
    </row>
    <row r="296" spans="1:4" x14ac:dyDescent="0.2">
      <c r="A296" s="3" t="s">
        <v>309</v>
      </c>
      <c r="B296" s="3" t="s">
        <v>1</v>
      </c>
      <c r="C296" s="3" t="s">
        <v>17</v>
      </c>
      <c r="D296" s="3" t="s">
        <v>978</v>
      </c>
    </row>
    <row r="297" spans="1:4" x14ac:dyDescent="0.2">
      <c r="A297" s="3" t="s">
        <v>317</v>
      </c>
      <c r="B297" s="3" t="s">
        <v>1</v>
      </c>
      <c r="C297" s="3" t="s">
        <v>17</v>
      </c>
      <c r="D297" s="3" t="s">
        <v>981</v>
      </c>
    </row>
    <row r="298" spans="1:4" x14ac:dyDescent="0.2">
      <c r="A298" s="3" t="s">
        <v>318</v>
      </c>
      <c r="B298" s="3" t="s">
        <v>1</v>
      </c>
      <c r="C298" s="3" t="s">
        <v>17</v>
      </c>
      <c r="D298" s="3" t="s">
        <v>981</v>
      </c>
    </row>
    <row r="299" spans="1:4" x14ac:dyDescent="0.2">
      <c r="A299" s="3" t="s">
        <v>321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322</v>
      </c>
      <c r="B300" s="3" t="s">
        <v>1</v>
      </c>
      <c r="C300" s="3" t="s">
        <v>17</v>
      </c>
      <c r="D300" s="3" t="s">
        <v>983</v>
      </c>
    </row>
    <row r="301" spans="1:4" x14ac:dyDescent="0.2">
      <c r="A301" s="3" t="s">
        <v>323</v>
      </c>
      <c r="B301" s="3" t="s">
        <v>1</v>
      </c>
      <c r="C301" s="3" t="s">
        <v>17</v>
      </c>
      <c r="D301" s="3" t="s">
        <v>984</v>
      </c>
    </row>
    <row r="302" spans="1:4" x14ac:dyDescent="0.2">
      <c r="A302" s="3" t="s">
        <v>319</v>
      </c>
      <c r="B302" s="3" t="s">
        <v>1</v>
      </c>
      <c r="C302" s="3" t="s">
        <v>17</v>
      </c>
      <c r="D302" s="3" t="s">
        <v>982</v>
      </c>
    </row>
    <row r="303" spans="1:4" x14ac:dyDescent="0.2">
      <c r="A303" s="3" t="s">
        <v>320</v>
      </c>
      <c r="B303" s="3" t="s">
        <v>1</v>
      </c>
      <c r="C303" s="3" t="s">
        <v>17</v>
      </c>
      <c r="D303" s="3" t="s">
        <v>982</v>
      </c>
    </row>
    <row r="304" spans="1:4" x14ac:dyDescent="0.2">
      <c r="A304" s="3" t="s">
        <v>324</v>
      </c>
      <c r="B304" s="3" t="s">
        <v>1</v>
      </c>
      <c r="C304" s="3" t="s">
        <v>17</v>
      </c>
      <c r="D304" s="3" t="s">
        <v>985</v>
      </c>
    </row>
    <row r="305" spans="1:4" x14ac:dyDescent="0.2">
      <c r="A305" s="3" t="s">
        <v>325</v>
      </c>
      <c r="B305" s="3" t="s">
        <v>1</v>
      </c>
      <c r="C305" s="3" t="s">
        <v>17</v>
      </c>
      <c r="D305" s="3" t="s">
        <v>985</v>
      </c>
    </row>
    <row r="306" spans="1:4" x14ac:dyDescent="0.2">
      <c r="A306" s="3" t="s">
        <v>326</v>
      </c>
      <c r="B306" s="3" t="s">
        <v>1</v>
      </c>
      <c r="C306" s="3" t="s">
        <v>17</v>
      </c>
      <c r="D306" s="3" t="s">
        <v>985</v>
      </c>
    </row>
    <row r="307" spans="1:4" x14ac:dyDescent="0.2">
      <c r="A307" s="3" t="s">
        <v>327</v>
      </c>
      <c r="B307" s="3" t="s">
        <v>1</v>
      </c>
      <c r="C307" s="3" t="s">
        <v>17</v>
      </c>
      <c r="D307" s="3" t="s">
        <v>985</v>
      </c>
    </row>
    <row r="308" spans="1:4" x14ac:dyDescent="0.2">
      <c r="A308" s="3" t="s">
        <v>328</v>
      </c>
      <c r="B308" s="3" t="s">
        <v>1</v>
      </c>
      <c r="C308" s="3" t="s">
        <v>17</v>
      </c>
      <c r="D308" s="3" t="s">
        <v>985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986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986</v>
      </c>
    </row>
    <row r="311" spans="1:4" x14ac:dyDescent="0.2">
      <c r="A311" s="3" t="s">
        <v>329</v>
      </c>
      <c r="B311" s="3" t="s">
        <v>1</v>
      </c>
      <c r="C311" s="3" t="s">
        <v>17</v>
      </c>
      <c r="D311" s="3" t="s">
        <v>986</v>
      </c>
    </row>
    <row r="312" spans="1:4" x14ac:dyDescent="0.2">
      <c r="A312" s="3" t="s">
        <v>334</v>
      </c>
      <c r="B312" s="3" t="s">
        <v>1</v>
      </c>
      <c r="C312" s="3" t="s">
        <v>17</v>
      </c>
      <c r="D312" s="3" t="s">
        <v>927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927</v>
      </c>
    </row>
    <row r="314" spans="1:4" x14ac:dyDescent="0.2">
      <c r="A314" s="3" t="s">
        <v>335</v>
      </c>
      <c r="B314" s="3" t="s">
        <v>1</v>
      </c>
      <c r="C314" s="3" t="s">
        <v>17</v>
      </c>
      <c r="D314" s="3" t="s">
        <v>927</v>
      </c>
    </row>
    <row r="315" spans="1:4" x14ac:dyDescent="0.2">
      <c r="A315" s="3" t="s">
        <v>336</v>
      </c>
      <c r="B315" s="3" t="s">
        <v>1</v>
      </c>
      <c r="C315" s="3" t="s">
        <v>17</v>
      </c>
      <c r="D315" s="3" t="s">
        <v>927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927</v>
      </c>
    </row>
    <row r="317" spans="1:4" x14ac:dyDescent="0.2">
      <c r="A317" s="3" t="s">
        <v>1147</v>
      </c>
      <c r="B317" s="3" t="s">
        <v>1</v>
      </c>
      <c r="C317" s="3" t="s">
        <v>17</v>
      </c>
      <c r="D317" s="3" t="s">
        <v>927</v>
      </c>
    </row>
    <row r="318" spans="1:4" x14ac:dyDescent="0.2">
      <c r="A318" s="3" t="s">
        <v>331</v>
      </c>
      <c r="B318" s="3" t="s">
        <v>1</v>
      </c>
      <c r="C318" s="3" t="s">
        <v>987</v>
      </c>
      <c r="D318" s="3" t="s">
        <v>988</v>
      </c>
    </row>
    <row r="319" spans="1:4" x14ac:dyDescent="0.2">
      <c r="A319" s="3" t="s">
        <v>332</v>
      </c>
      <c r="B319" s="3" t="s">
        <v>1</v>
      </c>
      <c r="C319" s="3" t="s">
        <v>987</v>
      </c>
      <c r="D319" s="3" t="s">
        <v>988</v>
      </c>
    </row>
    <row r="320" spans="1:4" x14ac:dyDescent="0.2">
      <c r="A320" s="3" t="s">
        <v>333</v>
      </c>
      <c r="B320" s="3" t="s">
        <v>1</v>
      </c>
      <c r="C320" s="3" t="s">
        <v>987</v>
      </c>
      <c r="D320" s="3" t="s">
        <v>988</v>
      </c>
    </row>
    <row r="321" spans="1:4" x14ac:dyDescent="0.2">
      <c r="A321" s="3" t="s">
        <v>337</v>
      </c>
      <c r="B321" s="3" t="s">
        <v>1</v>
      </c>
      <c r="C321" s="3" t="s">
        <v>987</v>
      </c>
      <c r="D321" s="3" t="s">
        <v>988</v>
      </c>
    </row>
    <row r="322" spans="1:4" x14ac:dyDescent="0.2">
      <c r="A322" s="3" t="s">
        <v>43</v>
      </c>
      <c r="B322" s="3" t="s">
        <v>1</v>
      </c>
      <c r="C322" s="3" t="s">
        <v>987</v>
      </c>
      <c r="D322" s="3" t="s">
        <v>988</v>
      </c>
    </row>
    <row r="323" spans="1:4" x14ac:dyDescent="0.2">
      <c r="A323" s="3" t="s">
        <v>338</v>
      </c>
      <c r="B323" s="3" t="s">
        <v>1</v>
      </c>
      <c r="C323" s="3" t="s">
        <v>987</v>
      </c>
      <c r="D323" s="3" t="s">
        <v>988</v>
      </c>
    </row>
    <row r="324" spans="1:4" x14ac:dyDescent="0.2">
      <c r="A324" s="3" t="s">
        <v>98</v>
      </c>
      <c r="B324" s="3" t="s">
        <v>1</v>
      </c>
      <c r="C324" s="3" t="s">
        <v>987</v>
      </c>
      <c r="D324" s="3" t="s">
        <v>988</v>
      </c>
    </row>
    <row r="325" spans="1:4" x14ac:dyDescent="0.2">
      <c r="A325" s="3" t="s">
        <v>339</v>
      </c>
      <c r="B325" s="3" t="s">
        <v>1</v>
      </c>
      <c r="C325" s="3" t="s">
        <v>987</v>
      </c>
      <c r="D325" s="3" t="s">
        <v>988</v>
      </c>
    </row>
    <row r="326" spans="1:4" x14ac:dyDescent="0.2">
      <c r="A326" s="3" t="s">
        <v>340</v>
      </c>
      <c r="B326" s="3" t="s">
        <v>1</v>
      </c>
      <c r="C326" s="3" t="s">
        <v>987</v>
      </c>
      <c r="D326" s="3" t="s">
        <v>988</v>
      </c>
    </row>
    <row r="327" spans="1:4" x14ac:dyDescent="0.2">
      <c r="A327" s="3" t="s">
        <v>1148</v>
      </c>
      <c r="B327" s="3" t="s">
        <v>1</v>
      </c>
      <c r="C327" s="3" t="s">
        <v>17</v>
      </c>
      <c r="D327" s="3" t="s">
        <v>989</v>
      </c>
    </row>
    <row r="328" spans="1:4" x14ac:dyDescent="0.2">
      <c r="A328" s="3" t="s">
        <v>1149</v>
      </c>
      <c r="B328" s="3" t="s">
        <v>1</v>
      </c>
      <c r="C328" s="3" t="s">
        <v>17</v>
      </c>
      <c r="D328" s="3" t="s">
        <v>989</v>
      </c>
    </row>
    <row r="329" spans="1:4" x14ac:dyDescent="0.2">
      <c r="A329" s="3" t="s">
        <v>475</v>
      </c>
      <c r="B329" s="3" t="s">
        <v>924</v>
      </c>
      <c r="C329" s="3" t="s">
        <v>938</v>
      </c>
      <c r="D329" s="3" t="s">
        <v>959</v>
      </c>
    </row>
    <row r="330" spans="1:4" x14ac:dyDescent="0.2">
      <c r="A330" s="3" t="s">
        <v>476</v>
      </c>
      <c r="B330" s="3" t="s">
        <v>924</v>
      </c>
      <c r="C330" s="3" t="s">
        <v>938</v>
      </c>
      <c r="D330" s="3" t="s">
        <v>959</v>
      </c>
    </row>
    <row r="331" spans="1:4" x14ac:dyDescent="0.2">
      <c r="A331" s="3" t="s">
        <v>479</v>
      </c>
      <c r="B331" s="3" t="s">
        <v>924</v>
      </c>
      <c r="C331" s="3" t="s">
        <v>938</v>
      </c>
      <c r="D331" s="3" t="s">
        <v>959</v>
      </c>
    </row>
    <row r="332" spans="1:4" x14ac:dyDescent="0.2">
      <c r="A332" s="3" t="s">
        <v>480</v>
      </c>
      <c r="B332" s="3" t="s">
        <v>924</v>
      </c>
      <c r="C332" s="3" t="s">
        <v>938</v>
      </c>
      <c r="D332" s="3" t="s">
        <v>959</v>
      </c>
    </row>
    <row r="333" spans="1:4" x14ac:dyDescent="0.2">
      <c r="A333" s="3" t="s">
        <v>477</v>
      </c>
      <c r="B333" s="3" t="s">
        <v>924</v>
      </c>
      <c r="C333" s="3" t="s">
        <v>938</v>
      </c>
      <c r="D333" s="3" t="s">
        <v>959</v>
      </c>
    </row>
    <row r="334" spans="1:4" x14ac:dyDescent="0.2">
      <c r="A334" s="3" t="s">
        <v>478</v>
      </c>
      <c r="B334" s="3" t="s">
        <v>924</v>
      </c>
      <c r="C334" s="3" t="s">
        <v>938</v>
      </c>
      <c r="D334" s="3" t="s">
        <v>959</v>
      </c>
    </row>
    <row r="335" spans="1:4" x14ac:dyDescent="0.2">
      <c r="A335" s="3" t="s">
        <v>342</v>
      </c>
      <c r="B335" s="3" t="s">
        <v>1</v>
      </c>
      <c r="C335" s="3" t="s">
        <v>972</v>
      </c>
      <c r="D335" s="3" t="s">
        <v>990</v>
      </c>
    </row>
    <row r="336" spans="1:4" x14ac:dyDescent="0.2">
      <c r="A336" s="3" t="s">
        <v>344</v>
      </c>
      <c r="B336" s="3" t="s">
        <v>1</v>
      </c>
      <c r="C336" s="3" t="s">
        <v>931</v>
      </c>
      <c r="D336" s="3" t="s">
        <v>992</v>
      </c>
    </row>
    <row r="337" spans="1:4" x14ac:dyDescent="0.2">
      <c r="A337" s="3" t="s">
        <v>345</v>
      </c>
      <c r="B337" s="3" t="s">
        <v>1</v>
      </c>
      <c r="C337" s="3" t="s">
        <v>931</v>
      </c>
      <c r="D337" s="3" t="s">
        <v>992</v>
      </c>
    </row>
    <row r="338" spans="1:4" x14ac:dyDescent="0.2">
      <c r="A338" s="3" t="s">
        <v>346</v>
      </c>
      <c r="B338" s="3" t="s">
        <v>1</v>
      </c>
      <c r="C338" s="3" t="s">
        <v>931</v>
      </c>
      <c r="D338" s="3" t="s">
        <v>992</v>
      </c>
    </row>
    <row r="339" spans="1:4" x14ac:dyDescent="0.2">
      <c r="A339" s="3" t="s">
        <v>347</v>
      </c>
      <c r="B339" s="3" t="s">
        <v>1</v>
      </c>
      <c r="C339" s="3" t="s">
        <v>931</v>
      </c>
      <c r="D339" s="3" t="s">
        <v>992</v>
      </c>
    </row>
    <row r="340" spans="1:4" x14ac:dyDescent="0.2">
      <c r="A340" s="3" t="s">
        <v>350</v>
      </c>
      <c r="B340" s="3" t="s">
        <v>1</v>
      </c>
      <c r="C340" s="3" t="s">
        <v>931</v>
      </c>
      <c r="D340" s="3" t="s">
        <v>992</v>
      </c>
    </row>
    <row r="341" spans="1:4" x14ac:dyDescent="0.2">
      <c r="A341" s="3" t="s">
        <v>351</v>
      </c>
      <c r="B341" s="3" t="s">
        <v>1</v>
      </c>
      <c r="C341" s="3" t="s">
        <v>931</v>
      </c>
      <c r="D341" s="3" t="s">
        <v>992</v>
      </c>
    </row>
    <row r="342" spans="1:4" x14ac:dyDescent="0.2">
      <c r="A342" s="3" t="s">
        <v>352</v>
      </c>
      <c r="B342" s="3" t="s">
        <v>1</v>
      </c>
      <c r="C342" s="3" t="s">
        <v>931</v>
      </c>
      <c r="D342" s="3" t="s">
        <v>992</v>
      </c>
    </row>
    <row r="343" spans="1:4" x14ac:dyDescent="0.2">
      <c r="A343" s="3" t="s">
        <v>353</v>
      </c>
      <c r="B343" s="3" t="s">
        <v>1</v>
      </c>
      <c r="C343" s="3" t="s">
        <v>931</v>
      </c>
      <c r="D343" s="3" t="s">
        <v>992</v>
      </c>
    </row>
    <row r="344" spans="1:4" x14ac:dyDescent="0.2">
      <c r="A344" s="3" t="s">
        <v>408</v>
      </c>
      <c r="B344" s="3" t="s">
        <v>943</v>
      </c>
      <c r="C344" s="3" t="s">
        <v>17</v>
      </c>
      <c r="D344" s="3" t="s">
        <v>999</v>
      </c>
    </row>
    <row r="345" spans="1:4" x14ac:dyDescent="0.2">
      <c r="A345" s="3" t="s">
        <v>409</v>
      </c>
      <c r="B345" s="3" t="s">
        <v>943</v>
      </c>
      <c r="C345" s="3" t="s">
        <v>17</v>
      </c>
      <c r="D345" s="3" t="s">
        <v>999</v>
      </c>
    </row>
    <row r="346" spans="1:4" x14ac:dyDescent="0.2">
      <c r="A346" s="3" t="s">
        <v>371</v>
      </c>
      <c r="B346" s="3" t="s">
        <v>1</v>
      </c>
      <c r="C346" s="3" t="s">
        <v>17</v>
      </c>
      <c r="D346" s="3" t="s">
        <v>1000</v>
      </c>
    </row>
    <row r="347" spans="1:4" x14ac:dyDescent="0.2">
      <c r="A347" s="3" t="s">
        <v>370</v>
      </c>
      <c r="B347" s="3" t="s">
        <v>1</v>
      </c>
      <c r="C347" s="3" t="s">
        <v>19</v>
      </c>
      <c r="D347" s="3" t="s">
        <v>998</v>
      </c>
    </row>
    <row r="348" spans="1:4" x14ac:dyDescent="0.2">
      <c r="A348" s="3" t="s">
        <v>366</v>
      </c>
      <c r="B348" s="3" t="s">
        <v>1</v>
      </c>
      <c r="C348" s="3" t="s">
        <v>29</v>
      </c>
      <c r="D348" s="3" t="s">
        <v>996</v>
      </c>
    </row>
    <row r="349" spans="1:4" x14ac:dyDescent="0.2">
      <c r="A349" s="3" t="s">
        <v>367</v>
      </c>
      <c r="B349" s="3" t="s">
        <v>1</v>
      </c>
      <c r="C349" s="3" t="s">
        <v>29</v>
      </c>
      <c r="D349" s="3" t="s">
        <v>996</v>
      </c>
    </row>
    <row r="350" spans="1:4" x14ac:dyDescent="0.2">
      <c r="A350" s="3" t="s">
        <v>368</v>
      </c>
      <c r="B350" s="3" t="s">
        <v>1</v>
      </c>
      <c r="C350" s="3" t="s">
        <v>17</v>
      </c>
      <c r="D350" s="3" t="s">
        <v>997</v>
      </c>
    </row>
    <row r="351" spans="1:4" x14ac:dyDescent="0.2">
      <c r="A351" s="3" t="s">
        <v>358</v>
      </c>
      <c r="B351" s="3" t="s">
        <v>1</v>
      </c>
      <c r="C351" s="3" t="s">
        <v>19</v>
      </c>
      <c r="D351" s="3" t="s">
        <v>995</v>
      </c>
    </row>
    <row r="352" spans="1:4" x14ac:dyDescent="0.2">
      <c r="A352" s="3" t="s">
        <v>359</v>
      </c>
      <c r="B352" s="3" t="s">
        <v>1</v>
      </c>
      <c r="C352" s="3" t="s">
        <v>19</v>
      </c>
      <c r="D352" s="3" t="s">
        <v>995</v>
      </c>
    </row>
    <row r="353" spans="1:4" x14ac:dyDescent="0.2">
      <c r="A353" s="3" t="s">
        <v>360</v>
      </c>
      <c r="B353" s="3" t="s">
        <v>1</v>
      </c>
      <c r="C353" s="3" t="s">
        <v>19</v>
      </c>
      <c r="D353" s="3" t="s">
        <v>995</v>
      </c>
    </row>
    <row r="354" spans="1:4" x14ac:dyDescent="0.2">
      <c r="A354" s="3" t="s">
        <v>361</v>
      </c>
      <c r="B354" s="3" t="s">
        <v>1</v>
      </c>
      <c r="C354" s="3" t="s">
        <v>19</v>
      </c>
      <c r="D354" s="3" t="s">
        <v>995</v>
      </c>
    </row>
    <row r="355" spans="1:4" x14ac:dyDescent="0.2">
      <c r="A355" s="3" t="s">
        <v>362</v>
      </c>
      <c r="B355" s="3" t="s">
        <v>1</v>
      </c>
      <c r="C355" s="3" t="s">
        <v>19</v>
      </c>
      <c r="D355" s="3" t="s">
        <v>995</v>
      </c>
    </row>
    <row r="356" spans="1:4" x14ac:dyDescent="0.2">
      <c r="A356" s="3" t="s">
        <v>363</v>
      </c>
      <c r="B356" s="3" t="s">
        <v>1</v>
      </c>
      <c r="C356" s="3" t="s">
        <v>19</v>
      </c>
      <c r="D356" s="3" t="s">
        <v>995</v>
      </c>
    </row>
    <row r="357" spans="1:4" x14ac:dyDescent="0.2">
      <c r="A357" s="3" t="s">
        <v>364</v>
      </c>
      <c r="B357" s="3" t="s">
        <v>1</v>
      </c>
      <c r="C357" s="3" t="s">
        <v>19</v>
      </c>
      <c r="D357" s="3" t="s">
        <v>995</v>
      </c>
    </row>
    <row r="358" spans="1:4" x14ac:dyDescent="0.2">
      <c r="A358" s="3" t="s">
        <v>365</v>
      </c>
      <c r="B358" s="3" t="s">
        <v>1</v>
      </c>
      <c r="C358" s="3" t="s">
        <v>19</v>
      </c>
      <c r="D358" s="3" t="s">
        <v>995</v>
      </c>
    </row>
    <row r="359" spans="1:4" x14ac:dyDescent="0.2">
      <c r="A359" s="3" t="s">
        <v>467</v>
      </c>
      <c r="B359" s="3" t="s">
        <v>1</v>
      </c>
      <c r="C359" s="3" t="s">
        <v>19</v>
      </c>
      <c r="D359" s="3" t="s">
        <v>995</v>
      </c>
    </row>
    <row r="360" spans="1:4" x14ac:dyDescent="0.2">
      <c r="A360" s="3" t="s">
        <v>354</v>
      </c>
      <c r="B360" s="3" t="s">
        <v>1</v>
      </c>
      <c r="C360" s="3" t="s">
        <v>17</v>
      </c>
      <c r="D360" s="3" t="s">
        <v>994</v>
      </c>
    </row>
    <row r="361" spans="1:4" x14ac:dyDescent="0.2">
      <c r="A361" s="3" t="s">
        <v>355</v>
      </c>
      <c r="B361" s="3" t="s">
        <v>1</v>
      </c>
      <c r="C361" s="3" t="s">
        <v>17</v>
      </c>
      <c r="D361" s="3" t="s">
        <v>994</v>
      </c>
    </row>
    <row r="362" spans="1:4" x14ac:dyDescent="0.2">
      <c r="A362" s="3" t="s">
        <v>356</v>
      </c>
      <c r="B362" s="3" t="s">
        <v>1</v>
      </c>
      <c r="C362" s="3" t="s">
        <v>17</v>
      </c>
      <c r="D362" s="3" t="s">
        <v>994</v>
      </c>
    </row>
    <row r="363" spans="1:4" x14ac:dyDescent="0.2">
      <c r="A363" s="3" t="s">
        <v>357</v>
      </c>
      <c r="B363" s="3" t="s">
        <v>1</v>
      </c>
      <c r="C363" s="3" t="s">
        <v>17</v>
      </c>
      <c r="D363" s="3" t="s">
        <v>994</v>
      </c>
    </row>
    <row r="364" spans="1:4" x14ac:dyDescent="0.2">
      <c r="A364" s="3" t="s">
        <v>372</v>
      </c>
      <c r="B364" s="3" t="s">
        <v>1</v>
      </c>
      <c r="C364" s="3" t="s">
        <v>17</v>
      </c>
      <c r="D364" s="3" t="s">
        <v>1001</v>
      </c>
    </row>
    <row r="365" spans="1:4" x14ac:dyDescent="0.2">
      <c r="A365" s="3" t="s">
        <v>373</v>
      </c>
      <c r="B365" s="3" t="s">
        <v>1</v>
      </c>
      <c r="C365" s="3" t="s">
        <v>17</v>
      </c>
      <c r="D365" s="3" t="s">
        <v>1001</v>
      </c>
    </row>
    <row r="366" spans="1:4" x14ac:dyDescent="0.2">
      <c r="A366" s="3" t="s">
        <v>374</v>
      </c>
      <c r="B366" s="3" t="s">
        <v>1</v>
      </c>
      <c r="C366" s="3" t="s">
        <v>17</v>
      </c>
      <c r="D366" s="3" t="s">
        <v>1001</v>
      </c>
    </row>
    <row r="367" spans="1:4" x14ac:dyDescent="0.2">
      <c r="A367" s="3" t="s">
        <v>375</v>
      </c>
      <c r="B367" s="3" t="s">
        <v>1</v>
      </c>
      <c r="C367" s="3" t="s">
        <v>17</v>
      </c>
      <c r="D367" s="3" t="s">
        <v>1001</v>
      </c>
    </row>
    <row r="368" spans="1:4" x14ac:dyDescent="0.2">
      <c r="A368" s="3" t="s">
        <v>380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381</v>
      </c>
      <c r="B369" s="3" t="s">
        <v>1</v>
      </c>
      <c r="C369" s="3" t="s">
        <v>17</v>
      </c>
      <c r="D369" s="3" t="s">
        <v>1003</v>
      </c>
    </row>
    <row r="370" spans="1:4" x14ac:dyDescent="0.2">
      <c r="A370" s="3" t="s">
        <v>382</v>
      </c>
      <c r="B370" s="3" t="s">
        <v>1</v>
      </c>
      <c r="C370" s="3" t="s">
        <v>17</v>
      </c>
      <c r="D370" s="3" t="s">
        <v>1003</v>
      </c>
    </row>
    <row r="371" spans="1:4" x14ac:dyDescent="0.2">
      <c r="A371" s="3" t="s">
        <v>383</v>
      </c>
      <c r="B371" s="3" t="s">
        <v>1</v>
      </c>
      <c r="C371" s="3" t="s">
        <v>17</v>
      </c>
      <c r="D371" s="3" t="s">
        <v>1003</v>
      </c>
    </row>
    <row r="372" spans="1:4" x14ac:dyDescent="0.2">
      <c r="A372" s="3" t="s">
        <v>384</v>
      </c>
      <c r="B372" s="3" t="s">
        <v>1</v>
      </c>
      <c r="C372" s="3" t="s">
        <v>17</v>
      </c>
      <c r="D372" s="3" t="s">
        <v>1003</v>
      </c>
    </row>
    <row r="373" spans="1:4" x14ac:dyDescent="0.2">
      <c r="A373" s="3" t="s">
        <v>385</v>
      </c>
      <c r="B373" s="3" t="s">
        <v>1</v>
      </c>
      <c r="C373" s="3" t="s">
        <v>972</v>
      </c>
      <c r="D373" s="3" t="s">
        <v>1004</v>
      </c>
    </row>
    <row r="374" spans="1:4" x14ac:dyDescent="0.2">
      <c r="A374" s="3" t="s">
        <v>1591</v>
      </c>
      <c r="B374" s="3" t="s">
        <v>1</v>
      </c>
      <c r="C374" s="3" t="s">
        <v>972</v>
      </c>
      <c r="D374" s="3" t="s">
        <v>1004</v>
      </c>
    </row>
    <row r="375" spans="1:4" x14ac:dyDescent="0.2">
      <c r="A375" s="3" t="s">
        <v>313</v>
      </c>
      <c r="B375" s="3" t="s">
        <v>1</v>
      </c>
      <c r="C375" s="3" t="s">
        <v>17</v>
      </c>
      <c r="D375" s="3" t="s">
        <v>980</v>
      </c>
    </row>
    <row r="376" spans="1:4" x14ac:dyDescent="0.2">
      <c r="A376" s="3" t="s">
        <v>314</v>
      </c>
      <c r="B376" s="3" t="s">
        <v>1</v>
      </c>
      <c r="C376" s="3" t="s">
        <v>17</v>
      </c>
      <c r="D376" s="3" t="s">
        <v>980</v>
      </c>
    </row>
    <row r="377" spans="1:4" x14ac:dyDescent="0.2">
      <c r="A377" s="3" t="s">
        <v>315</v>
      </c>
      <c r="B377" s="3" t="s">
        <v>1</v>
      </c>
      <c r="C377" s="3" t="s">
        <v>17</v>
      </c>
      <c r="D377" s="3" t="s">
        <v>980</v>
      </c>
    </row>
    <row r="378" spans="1:4" x14ac:dyDescent="0.2">
      <c r="A378" s="3" t="s">
        <v>122</v>
      </c>
      <c r="B378" s="3" t="s">
        <v>27</v>
      </c>
      <c r="C378" s="3" t="s">
        <v>987</v>
      </c>
      <c r="D378" s="3" t="s">
        <v>1008</v>
      </c>
    </row>
    <row r="379" spans="1:4" x14ac:dyDescent="0.2">
      <c r="A379" s="3" t="s">
        <v>123</v>
      </c>
      <c r="B379" s="3" t="s">
        <v>27</v>
      </c>
      <c r="C379" s="3" t="s">
        <v>987</v>
      </c>
      <c r="D379" s="3" t="s">
        <v>1008</v>
      </c>
    </row>
    <row r="380" spans="1:4" x14ac:dyDescent="0.2">
      <c r="A380" s="3" t="s">
        <v>124</v>
      </c>
      <c r="B380" s="3" t="s">
        <v>27</v>
      </c>
      <c r="C380" s="3" t="s">
        <v>987</v>
      </c>
      <c r="D380" s="3" t="s">
        <v>1008</v>
      </c>
    </row>
    <row r="381" spans="1:4" x14ac:dyDescent="0.2">
      <c r="A381" s="3" t="s">
        <v>450</v>
      </c>
      <c r="B381" s="3" t="s">
        <v>1152</v>
      </c>
      <c r="C381" s="3" t="s">
        <v>987</v>
      </c>
      <c r="D381" s="3" t="s">
        <v>1005</v>
      </c>
    </row>
    <row r="382" spans="1:4" x14ac:dyDescent="0.2">
      <c r="A382" s="3" t="s">
        <v>451</v>
      </c>
      <c r="B382" s="3" t="s">
        <v>1152</v>
      </c>
      <c r="C382" s="3" t="s">
        <v>987</v>
      </c>
      <c r="D382" s="3" t="s">
        <v>1005</v>
      </c>
    </row>
    <row r="383" spans="1:4" x14ac:dyDescent="0.2">
      <c r="A383" s="3" t="s">
        <v>452</v>
      </c>
      <c r="B383" s="3" t="s">
        <v>1152</v>
      </c>
      <c r="C383" s="3" t="s">
        <v>987</v>
      </c>
      <c r="D383" s="3" t="s">
        <v>1005</v>
      </c>
    </row>
    <row r="384" spans="1:4" x14ac:dyDescent="0.2">
      <c r="A384" s="3" t="s">
        <v>453</v>
      </c>
      <c r="B384" s="3" t="s">
        <v>1152</v>
      </c>
      <c r="C384" s="3" t="s">
        <v>987</v>
      </c>
      <c r="D384" s="3" t="s">
        <v>1005</v>
      </c>
    </row>
    <row r="385" spans="1:4" x14ac:dyDescent="0.2">
      <c r="A385" s="3" t="s">
        <v>455</v>
      </c>
      <c r="B385" s="3" t="s">
        <v>1152</v>
      </c>
      <c r="C385" s="3" t="s">
        <v>987</v>
      </c>
      <c r="D385" s="3" t="s">
        <v>1005</v>
      </c>
    </row>
    <row r="386" spans="1:4" x14ac:dyDescent="0.2">
      <c r="A386" s="3" t="s">
        <v>456</v>
      </c>
      <c r="B386" s="3" t="s">
        <v>1152</v>
      </c>
      <c r="C386" s="3" t="s">
        <v>987</v>
      </c>
      <c r="D386" s="3" t="s">
        <v>1005</v>
      </c>
    </row>
    <row r="387" spans="1:4" x14ac:dyDescent="0.2">
      <c r="A387" s="3" t="s">
        <v>457</v>
      </c>
      <c r="B387" s="3" t="s">
        <v>1152</v>
      </c>
      <c r="C387" s="3" t="s">
        <v>987</v>
      </c>
      <c r="D387" s="3" t="s">
        <v>1005</v>
      </c>
    </row>
    <row r="388" spans="1:4" x14ac:dyDescent="0.2">
      <c r="A388" s="3" t="s">
        <v>458</v>
      </c>
      <c r="B388" s="3" t="s">
        <v>1152</v>
      </c>
      <c r="C388" s="3" t="s">
        <v>987</v>
      </c>
      <c r="D388" s="3" t="s">
        <v>1005</v>
      </c>
    </row>
    <row r="389" spans="1:4" x14ac:dyDescent="0.2">
      <c r="A389" s="3" t="s">
        <v>459</v>
      </c>
      <c r="B389" s="3" t="s">
        <v>1152</v>
      </c>
      <c r="C389" s="3" t="s">
        <v>987</v>
      </c>
      <c r="D389" s="3" t="s">
        <v>1005</v>
      </c>
    </row>
    <row r="390" spans="1:4" x14ac:dyDescent="0.2">
      <c r="A390" s="3" t="s">
        <v>460</v>
      </c>
      <c r="B390" s="3" t="s">
        <v>1152</v>
      </c>
      <c r="C390" s="3" t="s">
        <v>987</v>
      </c>
      <c r="D390" s="3" t="s">
        <v>1005</v>
      </c>
    </row>
    <row r="391" spans="1:4" x14ac:dyDescent="0.2">
      <c r="A391" s="3" t="s">
        <v>461</v>
      </c>
      <c r="B391" s="3" t="s">
        <v>1152</v>
      </c>
      <c r="C391" s="3" t="s">
        <v>987</v>
      </c>
      <c r="D391" s="3" t="s">
        <v>1005</v>
      </c>
    </row>
    <row r="392" spans="1:4" x14ac:dyDescent="0.2">
      <c r="A392" s="3" t="s">
        <v>462</v>
      </c>
      <c r="B392" s="3" t="s">
        <v>1152</v>
      </c>
      <c r="C392" s="3" t="s">
        <v>987</v>
      </c>
      <c r="D392" s="3" t="s">
        <v>1005</v>
      </c>
    </row>
    <row r="393" spans="1:4" x14ac:dyDescent="0.2">
      <c r="A393" s="3" t="s">
        <v>463</v>
      </c>
      <c r="B393" s="3" t="s">
        <v>1152</v>
      </c>
      <c r="C393" s="3" t="s">
        <v>987</v>
      </c>
      <c r="D393" s="3" t="s">
        <v>1005</v>
      </c>
    </row>
    <row r="394" spans="1:4" x14ac:dyDescent="0.2">
      <c r="A394" s="3" t="s">
        <v>923</v>
      </c>
      <c r="B394" s="3" t="s">
        <v>1152</v>
      </c>
      <c r="C394" s="3" t="s">
        <v>987</v>
      </c>
      <c r="D394" s="3" t="s">
        <v>1005</v>
      </c>
    </row>
    <row r="395" spans="1:4" x14ac:dyDescent="0.2">
      <c r="A395" s="3" t="s">
        <v>464</v>
      </c>
      <c r="B395" s="3" t="s">
        <v>1152</v>
      </c>
      <c r="C395" s="3" t="s">
        <v>987</v>
      </c>
      <c r="D395" s="3" t="s">
        <v>1005</v>
      </c>
    </row>
    <row r="396" spans="1:4" x14ac:dyDescent="0.2">
      <c r="A396" s="3" t="s">
        <v>465</v>
      </c>
      <c r="B396" s="3" t="s">
        <v>1152</v>
      </c>
      <c r="C396" s="3" t="s">
        <v>987</v>
      </c>
      <c r="D396" s="3" t="s">
        <v>1005</v>
      </c>
    </row>
    <row r="397" spans="1:4" x14ac:dyDescent="0.2">
      <c r="A397" s="3" t="s">
        <v>466</v>
      </c>
      <c r="B397" s="3" t="s">
        <v>1152</v>
      </c>
      <c r="C397" s="3" t="s">
        <v>987</v>
      </c>
      <c r="D397" s="3" t="s">
        <v>1005</v>
      </c>
    </row>
    <row r="398" spans="1:4" x14ac:dyDescent="0.2">
      <c r="A398" s="3" t="s">
        <v>468</v>
      </c>
      <c r="B398" s="3" t="s">
        <v>1152</v>
      </c>
      <c r="C398" s="3" t="s">
        <v>987</v>
      </c>
      <c r="D398" s="3" t="s">
        <v>1005</v>
      </c>
    </row>
    <row r="399" spans="1:4" x14ac:dyDescent="0.2">
      <c r="A399" s="3" t="s">
        <v>469</v>
      </c>
      <c r="B399" s="3" t="s">
        <v>1152</v>
      </c>
      <c r="C399" s="3" t="s">
        <v>987</v>
      </c>
      <c r="D399" s="3" t="s">
        <v>1005</v>
      </c>
    </row>
    <row r="400" spans="1:4" x14ac:dyDescent="0.2">
      <c r="A400" s="3" t="s">
        <v>470</v>
      </c>
      <c r="B400" s="3" t="s">
        <v>1152</v>
      </c>
      <c r="C400" s="3" t="s">
        <v>987</v>
      </c>
      <c r="D400" s="3" t="s">
        <v>1005</v>
      </c>
    </row>
    <row r="401" spans="1:4" x14ac:dyDescent="0.2">
      <c r="A401" s="7" t="s">
        <v>471</v>
      </c>
      <c r="B401" s="3" t="s">
        <v>1152</v>
      </c>
      <c r="C401" s="3" t="s">
        <v>987</v>
      </c>
      <c r="D401" s="3" t="s">
        <v>1005</v>
      </c>
    </row>
    <row r="402" spans="1:4" x14ac:dyDescent="0.2">
      <c r="A402" s="3" t="s">
        <v>472</v>
      </c>
      <c r="B402" s="3" t="s">
        <v>1152</v>
      </c>
      <c r="C402" s="3" t="s">
        <v>987</v>
      </c>
      <c r="D402" s="3" t="s">
        <v>1005</v>
      </c>
    </row>
    <row r="403" spans="1:4" x14ac:dyDescent="0.2">
      <c r="A403" s="3" t="s">
        <v>473</v>
      </c>
      <c r="B403" s="3" t="s">
        <v>1152</v>
      </c>
      <c r="C403" s="3" t="s">
        <v>987</v>
      </c>
      <c r="D403" s="3" t="s">
        <v>1005</v>
      </c>
    </row>
    <row r="404" spans="1:4" x14ac:dyDescent="0.2">
      <c r="A404" s="3" t="s">
        <v>474</v>
      </c>
      <c r="B404" s="3" t="s">
        <v>1152</v>
      </c>
      <c r="C404" s="3" t="s">
        <v>987</v>
      </c>
      <c r="D404" s="3" t="s">
        <v>1005</v>
      </c>
    </row>
    <row r="405" spans="1:4" x14ac:dyDescent="0.2">
      <c r="A405" s="3" t="s">
        <v>922</v>
      </c>
      <c r="B405" s="3" t="s">
        <v>1152</v>
      </c>
      <c r="C405" s="3" t="s">
        <v>987</v>
      </c>
      <c r="D405" s="3" t="s">
        <v>1005</v>
      </c>
    </row>
    <row r="406" spans="1:4" x14ac:dyDescent="0.2">
      <c r="A406" s="3" t="s">
        <v>921</v>
      </c>
      <c r="B406" s="3" t="s">
        <v>1152</v>
      </c>
      <c r="C406" s="3" t="s">
        <v>987</v>
      </c>
      <c r="D406" s="3" t="s">
        <v>1005</v>
      </c>
    </row>
    <row r="407" spans="1:4" x14ac:dyDescent="0.2">
      <c r="A407" s="3" t="s">
        <v>393</v>
      </c>
      <c r="B407" s="3" t="s">
        <v>1</v>
      </c>
      <c r="C407" s="3" t="s">
        <v>17</v>
      </c>
      <c r="D407" s="3" t="s">
        <v>1007</v>
      </c>
    </row>
    <row r="408" spans="1:4" x14ac:dyDescent="0.2">
      <c r="A408" s="3" t="s">
        <v>386</v>
      </c>
      <c r="B408" s="3" t="s">
        <v>1</v>
      </c>
      <c r="C408" s="3" t="s">
        <v>2</v>
      </c>
      <c r="D408" s="3" t="s">
        <v>1006</v>
      </c>
    </row>
    <row r="409" spans="1:4" x14ac:dyDescent="0.2">
      <c r="A409" s="3" t="s">
        <v>919</v>
      </c>
      <c r="B409" s="3" t="s">
        <v>1</v>
      </c>
      <c r="C409" s="3" t="s">
        <v>22</v>
      </c>
      <c r="D409" s="3" t="s">
        <v>1010</v>
      </c>
    </row>
    <row r="410" spans="1:4" x14ac:dyDescent="0.2">
      <c r="A410" s="3" t="s">
        <v>395</v>
      </c>
      <c r="B410" s="3" t="s">
        <v>1</v>
      </c>
      <c r="C410" s="3" t="s">
        <v>17</v>
      </c>
      <c r="D410" s="3" t="s">
        <v>1009</v>
      </c>
    </row>
    <row r="411" spans="1:4" x14ac:dyDescent="0.2">
      <c r="A411" s="3" t="s">
        <v>343</v>
      </c>
      <c r="B411" s="3" t="s">
        <v>1</v>
      </c>
      <c r="C411" s="3" t="s">
        <v>17</v>
      </c>
      <c r="D411" s="3" t="s">
        <v>991</v>
      </c>
    </row>
    <row r="412" spans="1:4" x14ac:dyDescent="0.2">
      <c r="A412" s="3" t="s">
        <v>396</v>
      </c>
      <c r="B412" s="3" t="s">
        <v>1</v>
      </c>
      <c r="C412" s="3" t="s">
        <v>17</v>
      </c>
      <c r="D412" s="3" t="s">
        <v>991</v>
      </c>
    </row>
    <row r="413" spans="1:4" x14ac:dyDescent="0.2">
      <c r="A413" s="3" t="s">
        <v>397</v>
      </c>
      <c r="B413" s="3" t="s">
        <v>1</v>
      </c>
      <c r="C413" s="3" t="s">
        <v>17</v>
      </c>
      <c r="D413" s="3" t="s">
        <v>991</v>
      </c>
    </row>
    <row r="414" spans="1:4" x14ac:dyDescent="0.2">
      <c r="A414" s="3" t="s">
        <v>398</v>
      </c>
      <c r="B414" s="3" t="s">
        <v>1</v>
      </c>
      <c r="C414" s="3" t="s">
        <v>17</v>
      </c>
      <c r="D414" s="3" t="s">
        <v>991</v>
      </c>
    </row>
    <row r="415" spans="1:4" x14ac:dyDescent="0.2">
      <c r="A415" s="3" t="s">
        <v>407</v>
      </c>
      <c r="B415" s="3" t="s">
        <v>943</v>
      </c>
      <c r="C415" s="3" t="s">
        <v>17</v>
      </c>
      <c r="D415" s="3" t="s">
        <v>993</v>
      </c>
    </row>
    <row r="416" spans="1:4" x14ac:dyDescent="0.2">
      <c r="A416" s="3" t="s">
        <v>920</v>
      </c>
      <c r="B416" s="3" t="s">
        <v>943</v>
      </c>
      <c r="C416" s="3" t="s">
        <v>17</v>
      </c>
      <c r="D416" s="3" t="s">
        <v>993</v>
      </c>
    </row>
    <row r="417" spans="1:4" x14ac:dyDescent="0.2">
      <c r="A417" s="25" t="s">
        <v>411</v>
      </c>
      <c r="B417" s="3" t="s">
        <v>943</v>
      </c>
      <c r="C417" s="3" t="s">
        <v>17</v>
      </c>
      <c r="D417" s="3" t="s">
        <v>993</v>
      </c>
    </row>
    <row r="418" spans="1:4" x14ac:dyDescent="0.2">
      <c r="A418" s="3" t="s">
        <v>412</v>
      </c>
      <c r="B418" s="3" t="s">
        <v>943</v>
      </c>
      <c r="C418" s="3" t="s">
        <v>17</v>
      </c>
      <c r="D418" s="3" t="s">
        <v>993</v>
      </c>
    </row>
    <row r="419" spans="1:4" x14ac:dyDescent="0.2">
      <c r="A419" s="25" t="s">
        <v>877</v>
      </c>
      <c r="B419" s="3" t="s">
        <v>937</v>
      </c>
      <c r="C419" s="3" t="s">
        <v>938</v>
      </c>
      <c r="D419" s="3" t="s">
        <v>939</v>
      </c>
    </row>
    <row r="420" spans="1:4" x14ac:dyDescent="0.2">
      <c r="A420" s="7" t="s">
        <v>878</v>
      </c>
      <c r="B420" s="3" t="s">
        <v>937</v>
      </c>
      <c r="C420" s="3" t="s">
        <v>938</v>
      </c>
      <c r="D420" s="3" t="s">
        <v>939</v>
      </c>
    </row>
    <row r="421" spans="1:4" x14ac:dyDescent="0.2">
      <c r="A421" s="1" t="s">
        <v>879</v>
      </c>
      <c r="B421" s="3" t="s">
        <v>937</v>
      </c>
      <c r="C421" s="3" t="s">
        <v>938</v>
      </c>
      <c r="D421" s="3" t="s">
        <v>939</v>
      </c>
    </row>
    <row r="422" spans="1:4" x14ac:dyDescent="0.2">
      <c r="A422" s="1" t="s">
        <v>880</v>
      </c>
      <c r="B422" s="3" t="s">
        <v>937</v>
      </c>
      <c r="C422" s="3" t="s">
        <v>938</v>
      </c>
      <c r="D422" s="3" t="s">
        <v>939</v>
      </c>
    </row>
    <row r="423" spans="1:4" x14ac:dyDescent="0.2">
      <c r="A423" s="1" t="s">
        <v>881</v>
      </c>
      <c r="B423" s="3" t="s">
        <v>937</v>
      </c>
      <c r="C423" s="3" t="s">
        <v>938</v>
      </c>
      <c r="D423" s="3" t="s">
        <v>939</v>
      </c>
    </row>
    <row r="424" spans="1:4" x14ac:dyDescent="0.2">
      <c r="A424" s="1" t="s">
        <v>882</v>
      </c>
      <c r="B424" s="3" t="s">
        <v>937</v>
      </c>
      <c r="C424" s="3" t="s">
        <v>938</v>
      </c>
      <c r="D424" s="3" t="s">
        <v>939</v>
      </c>
    </row>
    <row r="425" spans="1:4" x14ac:dyDescent="0.2">
      <c r="A425" s="1" t="s">
        <v>883</v>
      </c>
      <c r="B425" s="3" t="s">
        <v>937</v>
      </c>
      <c r="C425" s="3" t="s">
        <v>938</v>
      </c>
      <c r="D425" s="3" t="s">
        <v>939</v>
      </c>
    </row>
    <row r="426" spans="1:4" x14ac:dyDescent="0.2">
      <c r="A426" s="1" t="s">
        <v>884</v>
      </c>
      <c r="B426" s="3" t="s">
        <v>937</v>
      </c>
      <c r="C426" s="3" t="s">
        <v>938</v>
      </c>
      <c r="D426" s="3" t="s">
        <v>939</v>
      </c>
    </row>
    <row r="427" spans="1:4" x14ac:dyDescent="0.2">
      <c r="A427" s="7" t="s">
        <v>885</v>
      </c>
      <c r="B427" s="3" t="s">
        <v>937</v>
      </c>
      <c r="C427" s="3" t="s">
        <v>938</v>
      </c>
      <c r="D427" s="3" t="s">
        <v>939</v>
      </c>
    </row>
    <row r="428" spans="1:4" x14ac:dyDescent="0.2">
      <c r="A428" s="7" t="s">
        <v>886</v>
      </c>
      <c r="B428" s="3" t="s">
        <v>937</v>
      </c>
      <c r="C428" s="3" t="s">
        <v>938</v>
      </c>
      <c r="D428" s="3" t="s">
        <v>939</v>
      </c>
    </row>
    <row r="429" spans="1:4" x14ac:dyDescent="0.2">
      <c r="A429" s="1" t="s">
        <v>887</v>
      </c>
      <c r="B429" s="3" t="s">
        <v>937</v>
      </c>
      <c r="C429" s="3" t="s">
        <v>938</v>
      </c>
      <c r="D429" s="3" t="s">
        <v>939</v>
      </c>
    </row>
    <row r="430" spans="1:4" x14ac:dyDescent="0.2">
      <c r="A430" s="1" t="s">
        <v>888</v>
      </c>
      <c r="B430" s="3" t="s">
        <v>937</v>
      </c>
      <c r="C430" s="3" t="s">
        <v>938</v>
      </c>
      <c r="D430" s="3" t="s">
        <v>939</v>
      </c>
    </row>
    <row r="431" spans="1:4" x14ac:dyDescent="0.2">
      <c r="A431" s="1" t="s">
        <v>889</v>
      </c>
      <c r="B431" s="3" t="s">
        <v>937</v>
      </c>
      <c r="C431" s="3" t="s">
        <v>938</v>
      </c>
      <c r="D431" s="3" t="s">
        <v>939</v>
      </c>
    </row>
    <row r="432" spans="1:4" x14ac:dyDescent="0.2">
      <c r="A432" s="1" t="s">
        <v>890</v>
      </c>
      <c r="B432" s="3" t="s">
        <v>937</v>
      </c>
      <c r="C432" s="3" t="s">
        <v>938</v>
      </c>
      <c r="D432" s="3" t="s">
        <v>939</v>
      </c>
    </row>
    <row r="433" spans="1:4" x14ac:dyDescent="0.2">
      <c r="A433" s="1" t="s">
        <v>891</v>
      </c>
      <c r="B433" s="3" t="s">
        <v>937</v>
      </c>
      <c r="C433" s="3" t="s">
        <v>938</v>
      </c>
      <c r="D433" s="3" t="s">
        <v>939</v>
      </c>
    </row>
    <row r="434" spans="1:4" x14ac:dyDescent="0.2">
      <c r="A434" s="1" t="s">
        <v>892</v>
      </c>
      <c r="B434" s="3" t="s">
        <v>937</v>
      </c>
      <c r="C434" s="3" t="s">
        <v>938</v>
      </c>
      <c r="D434" s="3" t="s">
        <v>939</v>
      </c>
    </row>
    <row r="435" spans="1:4" x14ac:dyDescent="0.2">
      <c r="A435" s="1" t="s">
        <v>893</v>
      </c>
      <c r="B435" s="3" t="s">
        <v>937</v>
      </c>
      <c r="C435" s="3" t="s">
        <v>938</v>
      </c>
      <c r="D435" s="3" t="s">
        <v>939</v>
      </c>
    </row>
    <row r="436" spans="1:4" x14ac:dyDescent="0.2">
      <c r="A436" s="1" t="s">
        <v>894</v>
      </c>
      <c r="B436" s="3" t="s">
        <v>937</v>
      </c>
      <c r="C436" s="3" t="s">
        <v>938</v>
      </c>
      <c r="D436" s="3" t="s">
        <v>939</v>
      </c>
    </row>
    <row r="437" spans="1:4" x14ac:dyDescent="0.2">
      <c r="A437" s="1" t="s">
        <v>895</v>
      </c>
      <c r="B437" s="3" t="s">
        <v>937</v>
      </c>
      <c r="C437" s="3" t="s">
        <v>938</v>
      </c>
      <c r="D437" s="3" t="s">
        <v>939</v>
      </c>
    </row>
    <row r="438" spans="1:4" x14ac:dyDescent="0.2">
      <c r="A438" s="1" t="s">
        <v>896</v>
      </c>
      <c r="B438" s="3" t="s">
        <v>937</v>
      </c>
      <c r="C438" s="3" t="s">
        <v>938</v>
      </c>
      <c r="D438" s="3" t="s">
        <v>939</v>
      </c>
    </row>
    <row r="439" spans="1:4" x14ac:dyDescent="0.2">
      <c r="A439" s="1" t="s">
        <v>897</v>
      </c>
      <c r="B439" s="3" t="s">
        <v>937</v>
      </c>
      <c r="C439" s="3" t="s">
        <v>938</v>
      </c>
      <c r="D439" s="3" t="s">
        <v>939</v>
      </c>
    </row>
    <row r="440" spans="1:4" x14ac:dyDescent="0.2">
      <c r="A440" s="1" t="s">
        <v>898</v>
      </c>
      <c r="B440" s="3" t="s">
        <v>937</v>
      </c>
      <c r="C440" s="3" t="s">
        <v>938</v>
      </c>
      <c r="D440" s="3" t="s">
        <v>939</v>
      </c>
    </row>
    <row r="441" spans="1:4" x14ac:dyDescent="0.2">
      <c r="A441" s="1" t="s">
        <v>899</v>
      </c>
      <c r="B441" s="3" t="s">
        <v>937</v>
      </c>
      <c r="C441" s="3" t="s">
        <v>938</v>
      </c>
      <c r="D441" s="3" t="s">
        <v>939</v>
      </c>
    </row>
    <row r="442" spans="1:4" x14ac:dyDescent="0.2">
      <c r="A442" s="1" t="s">
        <v>900</v>
      </c>
      <c r="B442" s="3" t="s">
        <v>937</v>
      </c>
      <c r="C442" s="3" t="s">
        <v>938</v>
      </c>
      <c r="D442" s="3" t="s">
        <v>939</v>
      </c>
    </row>
    <row r="443" spans="1:4" x14ac:dyDescent="0.2">
      <c r="A443" s="1" t="s">
        <v>901</v>
      </c>
      <c r="B443" s="3" t="s">
        <v>937</v>
      </c>
      <c r="C443" s="3" t="s">
        <v>938</v>
      </c>
      <c r="D443" s="3" t="s">
        <v>939</v>
      </c>
    </row>
    <row r="444" spans="1:4" x14ac:dyDescent="0.2">
      <c r="A444" s="1" t="s">
        <v>902</v>
      </c>
      <c r="B444" s="3" t="s">
        <v>937</v>
      </c>
      <c r="C444" s="3" t="s">
        <v>938</v>
      </c>
      <c r="D444" s="3" t="s">
        <v>939</v>
      </c>
    </row>
    <row r="445" spans="1:4" x14ac:dyDescent="0.2">
      <c r="A445" s="7" t="s">
        <v>454</v>
      </c>
      <c r="B445" s="3" t="s">
        <v>1152</v>
      </c>
      <c r="C445" s="3" t="s">
        <v>987</v>
      </c>
      <c r="D445" s="3" t="s">
        <v>1005</v>
      </c>
    </row>
    <row r="446" spans="1:4" x14ac:dyDescent="0.2">
      <c r="A446" s="3" t="s">
        <v>1631</v>
      </c>
      <c r="B446" s="3" t="s">
        <v>1</v>
      </c>
      <c r="C446" s="3" t="s">
        <v>987</v>
      </c>
      <c r="D446" s="3" t="s">
        <v>1633</v>
      </c>
    </row>
    <row r="447" spans="1:4" x14ac:dyDescent="0.2">
      <c r="A447" s="3" t="s">
        <v>1634</v>
      </c>
      <c r="B447" s="3" t="s">
        <v>1</v>
      </c>
      <c r="C447" s="3" t="s">
        <v>987</v>
      </c>
      <c r="D447" s="3" t="s">
        <v>1633</v>
      </c>
    </row>
    <row r="448" spans="1:4" x14ac:dyDescent="0.2">
      <c r="A448" s="3" t="s">
        <v>1636</v>
      </c>
      <c r="B448" s="3" t="s">
        <v>1</v>
      </c>
      <c r="C448" s="3" t="s">
        <v>987</v>
      </c>
      <c r="D448" s="3" t="s">
        <v>1633</v>
      </c>
    </row>
  </sheetData>
  <sortState xmlns:xlrd2="http://schemas.microsoft.com/office/spreadsheetml/2017/richdata2"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1122</v>
      </c>
      <c r="C1" s="17" t="s">
        <v>31</v>
      </c>
      <c r="D1" s="17" t="s">
        <v>30</v>
      </c>
      <c r="E1" s="17" t="s">
        <v>1094</v>
      </c>
      <c r="F1" s="17" t="s">
        <v>1092</v>
      </c>
      <c r="G1" s="17" t="s">
        <v>1109</v>
      </c>
      <c r="H1" s="17" t="s">
        <v>1093</v>
      </c>
      <c r="I1" s="83" t="s">
        <v>1139</v>
      </c>
      <c r="J1" s="19" t="s">
        <v>1131</v>
      </c>
      <c r="K1" s="19" t="s">
        <v>1129</v>
      </c>
      <c r="L1" s="19" t="s">
        <v>1128</v>
      </c>
      <c r="M1" s="19" t="s">
        <v>1130</v>
      </c>
      <c r="N1" s="19" t="s">
        <v>1132</v>
      </c>
      <c r="O1" s="19" t="s">
        <v>1101</v>
      </c>
      <c r="P1" s="17" t="s">
        <v>1014</v>
      </c>
      <c r="Q1" s="17" t="s">
        <v>1096</v>
      </c>
      <c r="R1" s="17" t="s">
        <v>1123</v>
      </c>
      <c r="S1" s="17" t="s">
        <v>1120</v>
      </c>
      <c r="T1" s="17" t="s">
        <v>1119</v>
      </c>
      <c r="U1" s="17" t="s">
        <v>1127</v>
      </c>
      <c r="V1" s="17" t="s">
        <v>1125</v>
      </c>
      <c r="W1" s="22" t="s">
        <v>1126</v>
      </c>
      <c r="X1" s="17" t="s">
        <v>1103</v>
      </c>
    </row>
    <row r="2" spans="1:24" ht="17" thickTop="1" x14ac:dyDescent="0.2">
      <c r="A2" s="3" t="s">
        <v>1133</v>
      </c>
      <c r="B2" s="3" t="str">
        <f t="shared" ref="B2:B13" si="0">CONCATENATE(C2,"_",D2)</f>
        <v>US28_hcmva_4XT1</v>
      </c>
      <c r="C2" s="2" t="s">
        <v>42</v>
      </c>
      <c r="D2" s="3" t="s">
        <v>1117</v>
      </c>
      <c r="E2" s="3" t="s">
        <v>1099</v>
      </c>
      <c r="F2" s="3" t="s">
        <v>1105</v>
      </c>
      <c r="G2" s="3" t="s">
        <v>1118</v>
      </c>
      <c r="H2" s="3" t="s">
        <v>1108</v>
      </c>
      <c r="I2" s="16" t="s">
        <v>1136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1121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1116</v>
      </c>
    </row>
    <row r="3" spans="1:24" x14ac:dyDescent="0.2">
      <c r="A3" s="3" t="s">
        <v>1135</v>
      </c>
      <c r="B3" s="3" t="str">
        <f t="shared" si="0"/>
        <v>OPRM_mouse_5C1M</v>
      </c>
      <c r="C3" s="3" t="s">
        <v>44</v>
      </c>
      <c r="D3" s="3" t="s">
        <v>84</v>
      </c>
      <c r="E3" s="3" t="s">
        <v>1099</v>
      </c>
      <c r="F3" s="3" t="s">
        <v>1105</v>
      </c>
      <c r="G3" s="3" t="s">
        <v>1118</v>
      </c>
      <c r="H3" s="3" t="s">
        <v>1108</v>
      </c>
      <c r="I3" s="16" t="s">
        <v>1136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1121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1116</v>
      </c>
    </row>
    <row r="4" spans="1:24" x14ac:dyDescent="0.2">
      <c r="A4" s="3" t="s">
        <v>1134</v>
      </c>
      <c r="B4" s="3" t="str">
        <f t="shared" si="0"/>
        <v>OPSD_bovin_3DQB</v>
      </c>
      <c r="C4" s="3" t="s">
        <v>43</v>
      </c>
      <c r="D4" s="14" t="s">
        <v>54</v>
      </c>
      <c r="E4" s="3" t="s">
        <v>1099</v>
      </c>
      <c r="F4" s="14" t="s">
        <v>24</v>
      </c>
      <c r="G4" s="3" t="s">
        <v>1118</v>
      </c>
      <c r="H4" s="3" t="s">
        <v>1108</v>
      </c>
      <c r="I4" s="16" t="s">
        <v>1136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1111</v>
      </c>
      <c r="P4" s="15" t="s">
        <v>1013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1099</v>
      </c>
      <c r="F5" s="3" t="s">
        <v>1095</v>
      </c>
      <c r="G5" s="3" t="s">
        <v>1118</v>
      </c>
      <c r="H5" s="3" t="s">
        <v>1108</v>
      </c>
      <c r="I5" s="16" t="s">
        <v>1137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1111</v>
      </c>
      <c r="P5" s="15" t="s">
        <v>1012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1104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1099</v>
      </c>
      <c r="F6" s="3" t="s">
        <v>16</v>
      </c>
      <c r="G6" s="3" t="s">
        <v>1141</v>
      </c>
      <c r="H6" s="3" t="s">
        <v>1108</v>
      </c>
      <c r="I6" s="16" t="s">
        <v>1137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1110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1099</v>
      </c>
      <c r="F7" s="3" t="s">
        <v>1105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1112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1106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1099</v>
      </c>
      <c r="F8" s="3" t="s">
        <v>1105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1112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1106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1099</v>
      </c>
      <c r="F9" s="3" t="s">
        <v>1105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1112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1106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1107</v>
      </c>
      <c r="E10" s="3" t="s">
        <v>1099</v>
      </c>
      <c r="F10" s="3" t="s">
        <v>1105</v>
      </c>
      <c r="H10" s="3" t="s">
        <v>1108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1106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1040</v>
      </c>
      <c r="E11" s="3" t="s">
        <v>1099</v>
      </c>
      <c r="F11" s="3" t="s">
        <v>1105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1106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1022</v>
      </c>
      <c r="E12" s="3" t="s">
        <v>1099</v>
      </c>
      <c r="F12" s="3" t="s">
        <v>1095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1111</v>
      </c>
      <c r="P12" s="15" t="s">
        <v>1012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1104</v>
      </c>
    </row>
    <row r="13" spans="1:24" x14ac:dyDescent="0.2">
      <c r="B13" s="3" t="str">
        <f t="shared" si="0"/>
        <v>FFAR1_human_4PHU</v>
      </c>
      <c r="C13" s="2" t="s">
        <v>1142</v>
      </c>
      <c r="D13" s="14" t="s">
        <v>52</v>
      </c>
      <c r="E13" s="3" t="s">
        <v>1098</v>
      </c>
      <c r="F13" s="3" t="s">
        <v>23</v>
      </c>
      <c r="G13" s="3" t="s">
        <v>1143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1028</v>
      </c>
      <c r="E14" s="3" t="s">
        <v>1098</v>
      </c>
      <c r="F14" s="14"/>
      <c r="I14" s="16" t="s">
        <v>1136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1098</v>
      </c>
      <c r="F15" s="3" t="s">
        <v>23</v>
      </c>
      <c r="G15" s="3" t="s">
        <v>1140</v>
      </c>
      <c r="I15" s="16" t="s">
        <v>1136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1110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1020</v>
      </c>
      <c r="E16" s="3" t="s">
        <v>1098</v>
      </c>
      <c r="F16" s="3" t="s">
        <v>23</v>
      </c>
      <c r="G16" s="3" t="s">
        <v>1118</v>
      </c>
      <c r="I16" s="16" t="s">
        <v>1138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1110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1113</v>
      </c>
      <c r="E17" s="3" t="s">
        <v>1098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1113</v>
      </c>
      <c r="E18" s="3" t="s">
        <v>1098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1098</v>
      </c>
      <c r="F19" s="3" t="s">
        <v>23</v>
      </c>
      <c r="G19" s="3" t="s">
        <v>1144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1113</v>
      </c>
      <c r="E20" s="3" t="s">
        <v>1098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1091</v>
      </c>
      <c r="D21" s="3" t="s">
        <v>1113</v>
      </c>
      <c r="E21" s="3" t="s">
        <v>1098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1011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1100</v>
      </c>
      <c r="E22" s="3" t="s">
        <v>1098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1015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1102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1124</v>
      </c>
      <c r="E23" s="3" t="s">
        <v>1098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1111</v>
      </c>
      <c r="P23" s="15" t="s">
        <v>1013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1115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1114</v>
      </c>
      <c r="E24" s="3" t="s">
        <v>1098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1111</v>
      </c>
      <c r="P24" s="15" t="s">
        <v>1013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1115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1098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1012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1097</v>
      </c>
      <c r="E26" s="3" t="s">
        <v>1098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1012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xmlns:xlrd2="http://schemas.microsoft.com/office/spreadsheetml/2017/richdata2"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1054</v>
      </c>
      <c r="C1" s="8" t="s">
        <v>1055</v>
      </c>
      <c r="D1" s="8" t="s">
        <v>1071</v>
      </c>
      <c r="E1" s="8" t="s">
        <v>1072</v>
      </c>
      <c r="F1" s="8" t="s">
        <v>1056</v>
      </c>
      <c r="G1" s="8" t="s">
        <v>1057</v>
      </c>
      <c r="H1" s="8" t="s">
        <v>1073</v>
      </c>
      <c r="I1" s="8" t="s">
        <v>1074</v>
      </c>
      <c r="J1" s="8" t="s">
        <v>1058</v>
      </c>
      <c r="K1" s="8" t="s">
        <v>1059</v>
      </c>
      <c r="L1" s="8" t="s">
        <v>1086</v>
      </c>
      <c r="M1" s="8" t="s">
        <v>1087</v>
      </c>
      <c r="N1" s="8" t="s">
        <v>1060</v>
      </c>
      <c r="O1" s="8" t="s">
        <v>1061</v>
      </c>
      <c r="P1" s="8" t="s">
        <v>1089</v>
      </c>
      <c r="Q1" s="8" t="s">
        <v>1090</v>
      </c>
      <c r="R1" s="8" t="s">
        <v>1062</v>
      </c>
      <c r="S1" s="8" t="s">
        <v>1063</v>
      </c>
      <c r="T1" s="8" t="s">
        <v>1064</v>
      </c>
      <c r="U1" s="8" t="s">
        <v>1065</v>
      </c>
      <c r="V1" s="8" t="s">
        <v>1066</v>
      </c>
      <c r="W1" s="8" t="s">
        <v>1067</v>
      </c>
      <c r="X1" s="8" t="s">
        <v>1068</v>
      </c>
      <c r="Y1" s="8" t="s">
        <v>1069</v>
      </c>
    </row>
    <row r="2" spans="1:25" x14ac:dyDescent="0.2">
      <c r="A2" s="1" t="s">
        <v>1319</v>
      </c>
      <c r="B2" s="1" t="e">
        <f>MIN('SegEnds_NonXtal_BW#'!C:C)</f>
        <v>#N/A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  <vt:lpstr>Seqs!GPCRdb_alignment</vt:lpstr>
      <vt:lpstr>Seqs!human_GPCR_fasta.fas</vt:lpstr>
      <vt:lpstr>Xtal_Templ!xtal_templates_1</vt:lpstr>
      <vt:lpstr>Xtal_Templ!xtal_templates_10</vt:lpstr>
      <vt:lpstr>Xtal_Templ!xtal_templates_12</vt:lpstr>
      <vt:lpstr>Xtal_Templ!xtal_templates_13</vt:lpstr>
      <vt:lpstr>Xtal_Templ!xtal_templates_3</vt:lpstr>
      <vt:lpstr>Xtal_Templ!xtal_templates_4</vt:lpstr>
      <vt:lpstr>Xtal_Templ!xtal_templates_6</vt:lpstr>
      <vt:lpstr>Xtal_Templ!xtal_templates_7</vt:lpstr>
      <vt:lpstr>Xtal_Templ!xtal_templates_8</vt:lpstr>
    </vt:vector>
  </TitlesOfParts>
  <Manager/>
  <Company>University of Copenhagen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Albert</cp:lastModifiedBy>
  <cp:revision/>
  <dcterms:created xsi:type="dcterms:W3CDTF">2016-02-16T16:06:34Z</dcterms:created>
  <dcterms:modified xsi:type="dcterms:W3CDTF">2020-07-16T12:53:58Z</dcterms:modified>
  <cp:category/>
  <cp:contentStatus/>
</cp:coreProperties>
</file>